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<sst xmlns="http://schemas.openxmlformats.org/spreadsheetml/2006/main" count="597" uniqueCount="203">
  <si>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</si>
  <si>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</si>
  <si>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</si>
  <si>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</si>
  <si>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</si>
  <si>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</si>
  <si>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</si>
  <si>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</si>
  <si>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</si>
  <si>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</si>
  <si>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</si>
  <si>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</si>
  <si>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</si>
  <si>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</si>
  <si>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</si>
  <si>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</si>
  <si>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</si>
  <si>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</si>
  <si>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</si>
  <si>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</si>
  <si>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</si>
  <si>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</si>
  <si>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</si>
  <si>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</si>
  <si>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</si>
  <si>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</si>
  <si>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</si>
  <si>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</si>
  <si>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</si>
  <si>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</si>
  <si>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</si>
  <si>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</si>
  <si>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</si>
  <si>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</si>
  <si>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</si>
  <si>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</si>
  <si>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</si>
  <si>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</si>
  <si>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</si>
  <si>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</si>
  <si>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</si>
  <si>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</si>
  <si>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</si>
  <si>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</si>
  <si>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</si>
  <si>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</si>
  <si>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</si>
  <si>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</si>
  <si>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</si>
  <si>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</si>
  <si>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</si>
  <si>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</si>
  <si>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</si>
  <si>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</si>
  <si>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</si>
  <si>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</si>
  <si>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</si>
  <si>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</si>
  <si>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</si>
  <si>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</si>
  <si>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</si>
  <si>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</si>
  <si>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</si>
  <si>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</si>
  <si>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</si>
  <si>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</si>
  <si>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</si>
  <si>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</si>
  <si>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</si>
  <si>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</si>
  <si>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</si>
  <si>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</si>
  <si>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</si>
  <si>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</si>
  <si>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</si>
  <si>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</si>
  <si>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</si>
  <si>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</si>
  <si>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</si>
  <si>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</si>
  <si>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</si>
  <si>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</si>
  <si>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</si>
  <si>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</si>
  <si>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</si>
  <si>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</si>
  <si>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</si>
  <si>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</si>
  <si>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</si>
  <si>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</si>
  <si>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</si>
  <si>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</si>
  <si>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</si>
  <si>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</si>
  <si>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</si>
  <si>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</si>
  <si>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</si>
  <si>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</si>
  <si>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</si>
  <si>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</si>
  <si>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</si>
  <si>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</si>
  <si>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</si>
  <si>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</si>
  <si>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</si>
  <si>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</si>
  <si>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</si>
  <si>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</si>
  <si>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</si>
  <si>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</si>
  <si>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</si>
  <si>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</si>
  <si>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</si>
  <si>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</si>
  <si>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</si>
  <si>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</si>
  <si>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</si>
  <si>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</si>
  <si>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</si>
  <si>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</si>
  <si>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</si>
  <si>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</si>
  <si>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</si>
  <si>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</si>
  <si>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</si>
  <si>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</si>
  <si>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</si>
  <si>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</si>
  <si>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</si>
  <si>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</si>
  <si>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</si>
  <si>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</si>
  <si>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</si>
  <si>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</si>
  <si>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</si>
  <si>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</si>
  <si>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</si>
  <si>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</si>
  <si>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</si>
  <si>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</si>
  <si>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</si>
  <si>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</si>
  <si>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</si>
  <si>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</si>
  <si>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</si>
  <si>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</si>
  <si>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</si>
  <si>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</si>
  <si>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</si>
  <si>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</si>
  <si>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</si>
  <si>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</si>
  <si>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</si>
  <si>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</si>
  <si>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</si>
  <si>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</si>
  <si>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</si>
  <si>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</si>
  <si>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</si>
  <si>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</si>
  <si>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</si>
  <si>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</si>
  <si>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</si>
  <si>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</si>
  <si>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</si>
  <si>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</si>
  <si>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</si>
  <si>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</si>
  <si>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</si>
  <si>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</si>
  <si>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</si>
  <si>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</si>
  <si>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</si>
  <si>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</si>
  <si>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</si>
  <si>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</si>
  <si>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</si>
  <si>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</si>
  <si>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</si>
  <si>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</si>
  <si>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</si>
  <si>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</si>
  <si>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</si>
  <si>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</si>
  <si>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</si>
  <si>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</si>
  <si>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</si>
  <si>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</si>
  <si>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</si>
  <si>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</si>
  <si>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</si>
  <si>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 xml:space="preserve">затверджений план на січень  місяць  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</si>
  <si>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</si>
  <si>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</si>
  <si>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</si>
  <si>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04.03.2014</t>
    </r>
    <r>
      <rPr>
        <b/>
        <sz val="16"/>
        <rFont val="Times New Roman"/>
        <family val="1"/>
      </rPr>
      <t>р.</t>
    </r>
  </si>
  <si>
    <t>Затверджений план на січень-березень</t>
  </si>
  <si>
    <t>Необхідно ще отримати до плану на січень-березень</t>
  </si>
  <si>
    <t>% виконання до плану на січень-березень</t>
  </si>
  <si>
    <t>Динаміка  фактичних надходжень січень-березень 2013 та 2014 років</t>
  </si>
  <si>
    <t xml:space="preserve">Затверджений план на березень  місяць 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</si>
  <si>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03.03.14 </t>
    </r>
    <r>
      <rPr>
        <b/>
        <sz val="10"/>
        <rFont val="Times New Roman"/>
        <family val="1"/>
      </rPr>
      <t>включно</t>
    </r>
  </si>
  <si>
    <t>Динаміка  фактичних надходжень березень 2013 та 2014 років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</si>
</sst>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очік-02"/>
      <sheetName val="депозит"/>
      <sheetName val="залишки  (2)"/>
      <sheetName val="надх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6">
        <row r="6">
          <cell r="G6">
            <v>122094664.4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108269442.44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95" sqref="F9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0.875" style="131" hidden="1" customWidth="1"/>
    <col min="19" max="16384" width="9.125" style="4" customWidth="1"/>
  </cols>
  <sheetData>
    <row r="1" spans="1:18" s="1" customFormat="1" ht="26.25" customHeight="1">
      <c r="A1" s="179" t="s">
        <v>195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8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81"/>
      <c r="B3" s="183"/>
      <c r="C3" s="184" t="s">
        <v>0</v>
      </c>
      <c r="D3" s="185" t="s">
        <v>186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200</v>
      </c>
      <c r="N3" s="172" t="s">
        <v>184</v>
      </c>
      <c r="O3" s="172"/>
      <c r="P3" s="172"/>
      <c r="Q3" s="127"/>
      <c r="R3" s="130"/>
    </row>
    <row r="4" spans="1:18" ht="22.5" customHeight="1">
      <c r="A4" s="181"/>
      <c r="B4" s="183"/>
      <c r="C4" s="184"/>
      <c r="D4" s="185"/>
      <c r="E4" s="190" t="s">
        <v>190</v>
      </c>
      <c r="F4" s="173" t="s">
        <v>116</v>
      </c>
      <c r="G4" s="175" t="s">
        <v>197</v>
      </c>
      <c r="H4" s="177" t="s">
        <v>198</v>
      </c>
      <c r="I4" s="170" t="s">
        <v>187</v>
      </c>
      <c r="J4" s="166" t="s">
        <v>188</v>
      </c>
      <c r="K4" s="125" t="s">
        <v>173</v>
      </c>
      <c r="L4" s="132" t="s">
        <v>172</v>
      </c>
      <c r="M4" s="189"/>
      <c r="N4" s="168" t="s">
        <v>201</v>
      </c>
      <c r="O4" s="170" t="s">
        <v>136</v>
      </c>
      <c r="P4" s="172" t="s">
        <v>135</v>
      </c>
      <c r="Q4" s="133" t="s">
        <v>173</v>
      </c>
      <c r="R4" s="134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199</v>
      </c>
      <c r="L5" s="164"/>
      <c r="M5" s="189"/>
      <c r="N5" s="169"/>
      <c r="O5" s="171"/>
      <c r="P5" s="172"/>
      <c r="Q5" s="153" t="s">
        <v>202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169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114957.60000000002</v>
      </c>
      <c r="F8" s="22">
        <f>F10+F19+F33+F56+F68+F30</f>
        <v>69970.56</v>
      </c>
      <c r="G8" s="22">
        <f aca="true" t="shared" si="0" ref="G8:G30">F8-E8</f>
        <v>-44987.04000000002</v>
      </c>
      <c r="H8" s="51">
        <f>F8/E8*100</f>
        <v>60.86640639679324</v>
      </c>
      <c r="I8" s="36">
        <f aca="true" t="shared" si="1" ref="I8:I17">F8-D8</f>
        <v>-449358.74</v>
      </c>
      <c r="J8" s="36">
        <f aca="true" t="shared" si="2" ref="J8:J14">F8/D8*100</f>
        <v>13.473254830798108</v>
      </c>
      <c r="K8" s="36">
        <f>F8-110917.9</f>
        <v>-40947.34</v>
      </c>
      <c r="L8" s="138">
        <f>F8/110917.9</f>
        <v>0.6308319937539387</v>
      </c>
      <c r="M8" s="22">
        <f>M10+M19+M33+M56+M68+M30</f>
        <v>40892.80000000001</v>
      </c>
      <c r="N8" s="22">
        <f>N10+N19+N33+N56+N68+N30</f>
        <v>657.3100000000032</v>
      </c>
      <c r="O8" s="36">
        <f aca="true" t="shared" si="3" ref="O8:O71">N8-M8</f>
        <v>-40235.490000000005</v>
      </c>
      <c r="P8" s="36">
        <f>F8/M8*100</f>
        <v>171.10728539009307</v>
      </c>
      <c r="Q8" s="36">
        <f>N8-38977.9</f>
        <v>-38320.59</v>
      </c>
      <c r="R8" s="136">
        <f>N8/31977.9</f>
        <v>0.020555133388996876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55291.04</v>
      </c>
      <c r="G9" s="22">
        <f t="shared" si="0"/>
        <v>55291.04</v>
      </c>
      <c r="H9" s="20"/>
      <c r="I9" s="56">
        <f t="shared" si="1"/>
        <v>-363075.16000000003</v>
      </c>
      <c r="J9" s="56">
        <f t="shared" si="2"/>
        <v>13.215943352976412</v>
      </c>
      <c r="K9" s="56"/>
      <c r="L9" s="137"/>
      <c r="M9" s="20">
        <f>M10+M17</f>
        <v>33586.40000000001</v>
      </c>
      <c r="N9" s="20">
        <f>N10+N17</f>
        <v>545.0500000000029</v>
      </c>
      <c r="O9" s="36">
        <f t="shared" si="3"/>
        <v>-33041.350000000006</v>
      </c>
      <c r="P9" s="56">
        <f>F9/M9*100</f>
        <v>164.62329990710523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55291.04</v>
      </c>
      <c r="G10" s="49">
        <f t="shared" si="0"/>
        <v>-38165.560000000005</v>
      </c>
      <c r="H10" s="40">
        <f aca="true" t="shared" si="4" ref="H10:H17">F10/E10*100</f>
        <v>59.162263553349895</v>
      </c>
      <c r="I10" s="56">
        <f t="shared" si="1"/>
        <v>-363075.16000000003</v>
      </c>
      <c r="J10" s="56">
        <f t="shared" si="2"/>
        <v>13.215943352976412</v>
      </c>
      <c r="K10" s="56">
        <f>F10-85215.1</f>
        <v>-29924.060000000005</v>
      </c>
      <c r="L10" s="137">
        <f>F10/85215.1</f>
        <v>0.6488408744459608</v>
      </c>
      <c r="M10" s="40">
        <f>E10-лютий!E10</f>
        <v>33586.40000000001</v>
      </c>
      <c r="N10" s="40">
        <f>F10-лютий!F10</f>
        <v>545.0500000000029</v>
      </c>
      <c r="O10" s="53">
        <f t="shared" si="3"/>
        <v>-33041.350000000006</v>
      </c>
      <c r="P10" s="56">
        <f aca="true" t="shared" si="5" ref="P10:P17">N10/M10*100</f>
        <v>1.6228294785984885</v>
      </c>
      <c r="Q10" s="143">
        <f>N10-28390.4</f>
        <v>-27845.35</v>
      </c>
      <c r="R10" s="144">
        <f>N10/28390.4</f>
        <v>0.019198391005410383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7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7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7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7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7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7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7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7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757.75</v>
      </c>
      <c r="G19" s="49">
        <f t="shared" si="0"/>
        <v>-470.8499999999999</v>
      </c>
      <c r="H19" s="40">
        <f aca="true" t="shared" si="6" ref="H19:H29">F19/E19*100</f>
        <v>61.67589125834283</v>
      </c>
      <c r="I19" s="56">
        <f aca="true" t="shared" si="7" ref="I19:I29">F19-D19</f>
        <v>-5242.25</v>
      </c>
      <c r="J19" s="56">
        <f aca="true" t="shared" si="8" ref="J19:J29">F19/D19*100</f>
        <v>12.629166666666666</v>
      </c>
      <c r="K19" s="56">
        <f>F19-4285.5</f>
        <v>-3527.75</v>
      </c>
      <c r="L19" s="137">
        <f>F19/4285.5</f>
        <v>0.17681717419204293</v>
      </c>
      <c r="M19" s="40">
        <f>E19-лютий!E19</f>
        <v>510.9999999999999</v>
      </c>
      <c r="N19" s="40">
        <f>F19-лютий!F19</f>
        <v>18.639999999999986</v>
      </c>
      <c r="O19" s="53">
        <f t="shared" si="3"/>
        <v>-492.3599999999999</v>
      </c>
      <c r="P19" s="56">
        <f aca="true" t="shared" si="9" ref="P19:P28">N19/M19*100</f>
        <v>3.6477495107632074</v>
      </c>
      <c r="Q19" s="56">
        <f>N19-3681.4</f>
        <v>-3662.76</v>
      </c>
      <c r="R19" s="137">
        <f>N19/3681.4</f>
        <v>0.005063291139240502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7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7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7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7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7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7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7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7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7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7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7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7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7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7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7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7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7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7">
        <f t="shared" si="13"/>
        <v>0</v>
      </c>
    </row>
    <row r="29" spans="1:18" s="6" customFormat="1" ht="15.75">
      <c r="A29" s="8"/>
      <c r="B29" s="76" t="s">
        <v>180</v>
      </c>
      <c r="C29" s="145">
        <v>11010232</v>
      </c>
      <c r="D29" s="146">
        <v>3000</v>
      </c>
      <c r="E29" s="146">
        <v>728.6</v>
      </c>
      <c r="F29" s="148">
        <v>717.64</v>
      </c>
      <c r="G29" s="49">
        <f t="shared" si="0"/>
        <v>-10.960000000000036</v>
      </c>
      <c r="H29" s="40">
        <f t="shared" si="6"/>
        <v>98.49574526489157</v>
      </c>
      <c r="I29" s="56">
        <f t="shared" si="7"/>
        <v>-2282.36</v>
      </c>
      <c r="J29" s="56">
        <f t="shared" si="8"/>
        <v>23.921333333333333</v>
      </c>
      <c r="K29" s="150">
        <f>F29-731.3</f>
        <v>-13.659999999999968</v>
      </c>
      <c r="L29" s="151">
        <f>F29/731.3</f>
        <v>0.9813209353206619</v>
      </c>
      <c r="M29" s="148">
        <f>E29-лютий!E29</f>
        <v>12.600000000000023</v>
      </c>
      <c r="N29" s="148">
        <f>F29-лютий!F29</f>
        <v>0</v>
      </c>
      <c r="O29" s="150"/>
      <c r="P29" s="56"/>
      <c r="Q29" s="56">
        <f>N29-162.6</f>
        <v>-162.6</v>
      </c>
      <c r="R29" s="137">
        <f>N29/162.6</f>
        <v>0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51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N30-25.1</f>
        <v>-25.1</v>
      </c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7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7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18578.2</v>
      </c>
      <c r="F33" s="40">
        <v>12832.6</v>
      </c>
      <c r="G33" s="49">
        <f aca="true" t="shared" si="14" ref="G33:G72">F33-E33</f>
        <v>-5745.6</v>
      </c>
      <c r="H33" s="40">
        <f aca="true" t="shared" si="15" ref="H33:H67">F33/E33*100</f>
        <v>69.07343014931479</v>
      </c>
      <c r="I33" s="56">
        <f>F33-D33</f>
        <v>-75233.4</v>
      </c>
      <c r="J33" s="56">
        <f aca="true" t="shared" si="16" ref="J33:J72">F33/D33*100</f>
        <v>14.57157132150887</v>
      </c>
      <c r="K33" s="56">
        <f>F33-19762.7</f>
        <v>-6930.1</v>
      </c>
      <c r="L33" s="137">
        <f>F33/19762.7</f>
        <v>0.6493343520875184</v>
      </c>
      <c r="M33" s="40">
        <f>E33-лютий!E33</f>
        <v>6190</v>
      </c>
      <c r="N33" s="40">
        <f>F33-лютий!F33</f>
        <v>75.60000000000036</v>
      </c>
      <c r="O33" s="53">
        <f t="shared" si="3"/>
        <v>-6114.4</v>
      </c>
      <c r="P33" s="56">
        <f aca="true" t="shared" si="17" ref="P33:P67">N33/M33*100</f>
        <v>1.221324717285951</v>
      </c>
      <c r="Q33" s="143">
        <f>N33-6362.9</f>
        <v>-6287.299999999999</v>
      </c>
      <c r="R33" s="144">
        <f>N33/6362.9</f>
        <v>0.011881374844803528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7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3">
        <f aca="true" t="shared" si="21" ref="Q34:Q54">N34-6362.9</f>
        <v>-6362.9</v>
      </c>
      <c r="R34" s="144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7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3">
        <f t="shared" si="21"/>
        <v>-6362.9</v>
      </c>
      <c r="R35" s="144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7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3">
        <f t="shared" si="21"/>
        <v>-6362.9</v>
      </c>
      <c r="R36" s="144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7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3">
        <f t="shared" si="21"/>
        <v>-6362.9</v>
      </c>
      <c r="R37" s="144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7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3">
        <f t="shared" si="21"/>
        <v>-6362.9</v>
      </c>
      <c r="R38" s="144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7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3">
        <f t="shared" si="21"/>
        <v>-6362.9</v>
      </c>
      <c r="R39" s="144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7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3">
        <f t="shared" si="21"/>
        <v>-6362.9</v>
      </c>
      <c r="R40" s="144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7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3">
        <f t="shared" si="21"/>
        <v>-6362.9</v>
      </c>
      <c r="R41" s="144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7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3">
        <f t="shared" si="21"/>
        <v>-6362.9</v>
      </c>
      <c r="R42" s="144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7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3">
        <f t="shared" si="21"/>
        <v>-6362.9</v>
      </c>
      <c r="R43" s="144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7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3">
        <f t="shared" si="21"/>
        <v>-6362.9</v>
      </c>
      <c r="R44" s="144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7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3">
        <f t="shared" si="21"/>
        <v>-6362.9</v>
      </c>
      <c r="R45" s="144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7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3">
        <f t="shared" si="21"/>
        <v>-6362.9</v>
      </c>
      <c r="R46" s="144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7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3">
        <f t="shared" si="21"/>
        <v>-6362.9</v>
      </c>
      <c r="R47" s="144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7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3">
        <f t="shared" si="21"/>
        <v>-6362.9</v>
      </c>
      <c r="R48" s="144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7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3">
        <f t="shared" si="21"/>
        <v>-6362.9</v>
      </c>
      <c r="R49" s="144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7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3">
        <f t="shared" si="21"/>
        <v>-6362.9</v>
      </c>
      <c r="R50" s="144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7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3">
        <f t="shared" si="21"/>
        <v>-6362.9</v>
      </c>
      <c r="R51" s="144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7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3">
        <f t="shared" si="21"/>
        <v>-6362.9</v>
      </c>
      <c r="R52" s="144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7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3">
        <f t="shared" si="21"/>
        <v>-6362.9</v>
      </c>
      <c r="R53" s="144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7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3">
        <f t="shared" si="21"/>
        <v>-6362.9</v>
      </c>
      <c r="R54" s="144">
        <f t="shared" si="22"/>
        <v>0</v>
      </c>
    </row>
    <row r="55" spans="1:18" s="6" customFormat="1" ht="15.75">
      <c r="A55" s="8"/>
      <c r="B55" s="76" t="s">
        <v>181</v>
      </c>
      <c r="C55" s="65"/>
      <c r="D55" s="146">
        <f>56066+10200</f>
        <v>66266</v>
      </c>
      <c r="E55" s="146">
        <v>13737.9</v>
      </c>
      <c r="F55" s="148">
        <v>9545.33</v>
      </c>
      <c r="G55" s="146">
        <f t="shared" si="14"/>
        <v>-4192.57</v>
      </c>
      <c r="H55" s="148">
        <f t="shared" si="15"/>
        <v>69.48172573683024</v>
      </c>
      <c r="I55" s="147">
        <f t="shared" si="18"/>
        <v>-56720.67</v>
      </c>
      <c r="J55" s="147">
        <f t="shared" si="16"/>
        <v>14.404566444330424</v>
      </c>
      <c r="K55" s="150">
        <f>F55-14615.9</f>
        <v>-5070.57</v>
      </c>
      <c r="L55" s="151">
        <f>F55/14615.9</f>
        <v>0.6530784967056424</v>
      </c>
      <c r="M55" s="148">
        <f>E55-лютий!E55</f>
        <v>4237.9</v>
      </c>
      <c r="N55" s="148">
        <f>F55-лютий!F55</f>
        <v>65.21999999999935</v>
      </c>
      <c r="O55" s="150">
        <f t="shared" si="3"/>
        <v>-4172.68</v>
      </c>
      <c r="P55" s="60">
        <f t="shared" si="17"/>
        <v>1.5389697727647973</v>
      </c>
      <c r="Q55" s="143">
        <f>N55-4413.4</f>
        <v>-4348.18</v>
      </c>
      <c r="R55" s="144">
        <f>N55/4413.4</f>
        <v>0.014777722390900293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1085.48</v>
      </c>
      <c r="G56" s="49">
        <f t="shared" si="14"/>
        <v>-599.6199999999999</v>
      </c>
      <c r="H56" s="40">
        <f t="shared" si="15"/>
        <v>64.41635511245623</v>
      </c>
      <c r="I56" s="56">
        <f t="shared" si="18"/>
        <v>-5774.52</v>
      </c>
      <c r="J56" s="56">
        <f t="shared" si="16"/>
        <v>15.823323615160351</v>
      </c>
      <c r="K56" s="56">
        <f>F56-1629.5</f>
        <v>-544.02</v>
      </c>
      <c r="L56" s="137">
        <f>F56/1629.5</f>
        <v>0.6661429886468242</v>
      </c>
      <c r="M56" s="40">
        <f>E56-лютий!E56</f>
        <v>605.3999999999999</v>
      </c>
      <c r="N56" s="40">
        <f>F56-лютий!F56</f>
        <v>18.019999999999982</v>
      </c>
      <c r="O56" s="53">
        <f t="shared" si="3"/>
        <v>-587.3799999999999</v>
      </c>
      <c r="P56" s="56">
        <f t="shared" si="17"/>
        <v>2.976544433432439</v>
      </c>
      <c r="Q56" s="56">
        <f>N56-518.3</f>
        <v>-500.28</v>
      </c>
      <c r="R56" s="137">
        <f>N56/518.3</f>
        <v>0.034767509164576466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7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7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7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7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7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7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7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7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7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7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7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F68-0.3</f>
        <v>0.48000000000000004</v>
      </c>
      <c r="L68" s="137"/>
      <c r="M68" s="40">
        <f>E68-лютий!E68</f>
        <v>0</v>
      </c>
      <c r="N68" s="40">
        <f>F68-лютий!F68</f>
        <v>0</v>
      </c>
      <c r="O68" s="53">
        <f t="shared" si="3"/>
        <v>0</v>
      </c>
      <c r="P68" s="56"/>
      <c r="Q68" s="56">
        <f>N68-0.1</f>
        <v>-0.1</v>
      </c>
      <c r="R68" s="137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7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7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7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7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7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2124.09</v>
      </c>
      <c r="G74" s="50">
        <f aca="true" t="shared" si="24" ref="G74:G92">F74-E74</f>
        <v>-707.9099999999999</v>
      </c>
      <c r="H74" s="51">
        <f aca="true" t="shared" si="25" ref="H74:H87">F74/E74*100</f>
        <v>75.0031779661017</v>
      </c>
      <c r="I74" s="36">
        <f aca="true" t="shared" si="26" ref="I74:I92">F74-D74</f>
        <v>-15541.509999999998</v>
      </c>
      <c r="J74" s="36">
        <f aca="true" t="shared" si="27" ref="J74:J92">F74/D74*100</f>
        <v>12.02387691332307</v>
      </c>
      <c r="K74" s="36">
        <f>F74-3848.8</f>
        <v>-1724.71</v>
      </c>
      <c r="L74" s="138">
        <f>F74/3848.8</f>
        <v>0.55188370401164</v>
      </c>
      <c r="M74" s="22">
        <f>M77+M86+M88+M89+M94+M95+M96+M97+M99+M87+M103</f>
        <v>965</v>
      </c>
      <c r="N74" s="22">
        <f>N77+N86+N88+N89+N94+N95+N96+N97+N99+N32+N103+N87</f>
        <v>19.569999999999837</v>
      </c>
      <c r="O74" s="55">
        <f aca="true" t="shared" si="28" ref="O74:O92">N74-M74</f>
        <v>-945.4300000000002</v>
      </c>
      <c r="P74" s="36">
        <f>N74/M74*100</f>
        <v>2.0279792746113823</v>
      </c>
      <c r="Q74" s="36">
        <f>N74-1790.3</f>
        <v>-1770.73</v>
      </c>
      <c r="R74" s="138">
        <f>N74/1790.3</f>
        <v>0.010931128861084643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7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7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7">
        <f>F77/1273.9</f>
        <v>0.012457806735222543</v>
      </c>
      <c r="M77" s="40">
        <f>E77-лютий!E77</f>
        <v>0</v>
      </c>
      <c r="N77" s="40">
        <f>F77-лютий!F77</f>
        <v>0</v>
      </c>
      <c r="O77" s="53">
        <f t="shared" si="28"/>
        <v>0</v>
      </c>
      <c r="P77" s="56" t="e">
        <f aca="true" t="shared" si="29" ref="P77:P86">N77/M77*100</f>
        <v>#DIV/0!</v>
      </c>
      <c r="Q77" s="56">
        <f>N77-1273</f>
        <v>-1273</v>
      </c>
      <c r="R77" s="137">
        <f>N77/1273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7">
        <f aca="true" t="shared" si="30" ref="L78:L86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7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7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7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7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7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7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7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7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>
        <v>0</v>
      </c>
      <c r="F87" s="57">
        <v>97.38</v>
      </c>
      <c r="G87" s="49">
        <f t="shared" si="24"/>
        <v>97.38</v>
      </c>
      <c r="H87" s="40" t="e">
        <f t="shared" si="25"/>
        <v>#DIV/0!</v>
      </c>
      <c r="I87" s="56"/>
      <c r="J87" s="56"/>
      <c r="K87" s="56"/>
      <c r="L87" s="137"/>
      <c r="M87" s="40">
        <f>E87-лютий!E87</f>
        <v>0</v>
      </c>
      <c r="N87" s="40">
        <f>F87-лютий!F87</f>
        <v>0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7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19.41</v>
      </c>
      <c r="G89" s="49">
        <f t="shared" si="24"/>
        <v>-19.59</v>
      </c>
      <c r="H89" s="40">
        <f>F89/E89*100</f>
        <v>49.769230769230774</v>
      </c>
      <c r="I89" s="56">
        <f t="shared" si="26"/>
        <v>-155.59</v>
      </c>
      <c r="J89" s="56">
        <f t="shared" si="27"/>
        <v>11.09142857142857</v>
      </c>
      <c r="K89" s="56">
        <f>F89-47.5</f>
        <v>-28.09</v>
      </c>
      <c r="L89" s="137">
        <f>F89/47.5</f>
        <v>0.4086315789473684</v>
      </c>
      <c r="M89" s="40">
        <f>E89-лютий!E89</f>
        <v>15</v>
      </c>
      <c r="N89" s="40">
        <f>F89-лютий!F89</f>
        <v>0</v>
      </c>
      <c r="O89" s="53">
        <f t="shared" si="28"/>
        <v>-15</v>
      </c>
      <c r="P89" s="56">
        <f>N89/M89*100</f>
        <v>0</v>
      </c>
      <c r="Q89" s="56">
        <f>N89-19.8</f>
        <v>-19.8</v>
      </c>
      <c r="R89" s="137">
        <f>N89/19.8</f>
        <v>0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7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7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7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7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7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1190.04</v>
      </c>
      <c r="G95" s="49">
        <f t="shared" si="31"/>
        <v>-486.46000000000004</v>
      </c>
      <c r="H95" s="40">
        <f>F95/E95*100</f>
        <v>70.98359677900388</v>
      </c>
      <c r="I95" s="56">
        <f t="shared" si="32"/>
        <v>-5109.96</v>
      </c>
      <c r="J95" s="56">
        <f>F95/D95*100</f>
        <v>18.88952380952381</v>
      </c>
      <c r="K95" s="56">
        <f>F95-1478.7</f>
        <v>-288.6600000000001</v>
      </c>
      <c r="L95" s="137">
        <f>F95/1478.7</f>
        <v>0.8047879894501927</v>
      </c>
      <c r="M95" s="40">
        <f>E95-лютий!E95</f>
        <v>515</v>
      </c>
      <c r="N95" s="40">
        <f>F95-лютий!F95</f>
        <v>0.11999999999989086</v>
      </c>
      <c r="O95" s="53">
        <f t="shared" si="33"/>
        <v>-514.8800000000001</v>
      </c>
      <c r="P95" s="56">
        <f>N95/M95*100</f>
        <v>0.023300970873765214</v>
      </c>
      <c r="Q95" s="56">
        <f>N95-186.8</f>
        <v>-186.68000000000012</v>
      </c>
      <c r="R95" s="137">
        <f>N95/186.8</f>
        <v>0.0006423982869373172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133.57</v>
      </c>
      <c r="G96" s="49">
        <f t="shared" si="31"/>
        <v>-90.93</v>
      </c>
      <c r="H96" s="40">
        <f>F96/E96*100</f>
        <v>59.49665924276169</v>
      </c>
      <c r="I96" s="56">
        <f t="shared" si="32"/>
        <v>-1066.43</v>
      </c>
      <c r="J96" s="56">
        <f>F96/D96*100</f>
        <v>11.130833333333333</v>
      </c>
      <c r="K96" s="56">
        <f>F96-161.5</f>
        <v>-27.930000000000007</v>
      </c>
      <c r="L96" s="137">
        <f>F96/161.5</f>
        <v>0.8270588235294117</v>
      </c>
      <c r="M96" s="40">
        <f>E96-лютий!E96</f>
        <v>80</v>
      </c>
      <c r="N96" s="40">
        <f>F96-лютий!F96</f>
        <v>7.029999999999987</v>
      </c>
      <c r="O96" s="53">
        <f t="shared" si="33"/>
        <v>-72.97000000000001</v>
      </c>
      <c r="P96" s="56">
        <f>N96/M96*100</f>
        <v>8.787499999999984</v>
      </c>
      <c r="Q96" s="56">
        <f>N96-42.8</f>
        <v>-35.77000000000001</v>
      </c>
      <c r="R96" s="137">
        <f>N96/42.8</f>
        <v>0.16425233644859782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7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7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664.42</v>
      </c>
      <c r="G99" s="49">
        <f t="shared" si="31"/>
        <v>-112.58000000000004</v>
      </c>
      <c r="H99" s="40">
        <f>F99/E99*100</f>
        <v>85.51093951093951</v>
      </c>
      <c r="I99" s="56">
        <f t="shared" si="32"/>
        <v>-3215.58</v>
      </c>
      <c r="J99" s="56">
        <f>F99/D99*100</f>
        <v>17.12422680412371</v>
      </c>
      <c r="K99" s="56">
        <f>F99-730.6</f>
        <v>-66.18000000000006</v>
      </c>
      <c r="L99" s="137">
        <f>F99/730.6</f>
        <v>0.9094169176019709</v>
      </c>
      <c r="M99" s="40">
        <f>E99-лютий!E99</f>
        <v>250</v>
      </c>
      <c r="N99" s="40">
        <f>F99-лютий!F99</f>
        <v>12.419999999999959</v>
      </c>
      <c r="O99" s="53">
        <f t="shared" si="33"/>
        <v>-237.58000000000004</v>
      </c>
      <c r="P99" s="56">
        <f>N99/M99*100</f>
        <v>4.967999999999984</v>
      </c>
      <c r="Q99" s="56">
        <f>N99-252.2</f>
        <v>-239.78000000000003</v>
      </c>
      <c r="R99" s="137">
        <f>N99/252.2</f>
        <v>0.04924662965900063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7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7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46"/>
      <c r="E102" s="146"/>
      <c r="F102" s="148">
        <v>133.3</v>
      </c>
      <c r="G102" s="146"/>
      <c r="H102" s="148"/>
      <c r="I102" s="147"/>
      <c r="J102" s="147"/>
      <c r="K102" s="150">
        <f>F102-88.6</f>
        <v>44.70000000000002</v>
      </c>
      <c r="L102" s="151">
        <f>F102/88.6</f>
        <v>1.5045146726862304</v>
      </c>
      <c r="M102" s="40">
        <f>E102-лютий!E102</f>
        <v>0</v>
      </c>
      <c r="N102" s="40">
        <f>F102-лютий!F102</f>
        <v>3.200000000000017</v>
      </c>
      <c r="O102" s="53"/>
      <c r="P102" s="60"/>
      <c r="Q102" s="60">
        <f>N102-26.6</f>
        <v>-23.399999999999984</v>
      </c>
      <c r="R102" s="140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F103-24.2</f>
        <v>-24.2</v>
      </c>
      <c r="L103" s="137">
        <f>F103/24.2</f>
        <v>0</v>
      </c>
      <c r="M103" s="40">
        <f>E103-лютий!E103</f>
        <v>24.5</v>
      </c>
      <c r="N103" s="40">
        <f>F103-лютий!F103</f>
        <v>0</v>
      </c>
      <c r="O103" s="53">
        <f aca="true" t="shared" si="35" ref="O103:O109">N103-M103</f>
        <v>-24.5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2.68</v>
      </c>
      <c r="G104" s="49">
        <f>F104-E104</f>
        <v>-3.52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F104-12.1</f>
        <v>-9.42</v>
      </c>
      <c r="L104" s="137">
        <f>F104/12.1</f>
        <v>0.22148760330578515</v>
      </c>
      <c r="M104" s="40">
        <f>E104-лютий!E104</f>
        <v>2</v>
      </c>
      <c r="N104" s="40">
        <f>F104-лютий!F104</f>
        <v>0</v>
      </c>
      <c r="O104" s="53">
        <f t="shared" si="35"/>
        <v>-2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7"/>
      <c r="M105" s="40">
        <f>E105-лютий!E105</f>
        <v>0</v>
      </c>
      <c r="N105" s="40">
        <f>F105-лютий!F105</f>
        <v>0</v>
      </c>
      <c r="O105" s="53">
        <f t="shared" si="35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117795.80000000002</v>
      </c>
      <c r="F106" s="192">
        <f>F8+F74+F104+F105</f>
        <v>72097.33999999998</v>
      </c>
      <c r="G106" s="50">
        <f>F106-E106</f>
        <v>-45698.460000000036</v>
      </c>
      <c r="H106" s="51">
        <f>F106/E106*100</f>
        <v>61.20535706706009</v>
      </c>
      <c r="I106" s="36">
        <f t="shared" si="34"/>
        <v>-464942.56000000006</v>
      </c>
      <c r="J106" s="36">
        <f t="shared" si="36"/>
        <v>13.42495036216117</v>
      </c>
      <c r="K106" s="36">
        <f>F106-114781.4</f>
        <v>-42684.06000000001</v>
      </c>
      <c r="L106" s="138">
        <f>F106/114781.4</f>
        <v>0.628127379523163</v>
      </c>
      <c r="M106" s="22">
        <f>M8+M74+M104+M105</f>
        <v>41859.80000000001</v>
      </c>
      <c r="N106" s="22">
        <f>N8+N74+N104+N105</f>
        <v>676.8800000000031</v>
      </c>
      <c r="O106" s="55">
        <f t="shared" si="35"/>
        <v>-41182.920000000006</v>
      </c>
      <c r="P106" s="36">
        <f>N106/M106*100</f>
        <v>1.6170168037114436</v>
      </c>
      <c r="Q106" s="36">
        <f>N106-40779.2</f>
        <v>-40102.31999999999</v>
      </c>
      <c r="R106" s="138">
        <f>N106/40779.2</f>
        <v>0.016598658139443716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193">
        <f>F10-F18+F96</f>
        <v>55424.61</v>
      </c>
      <c r="G107" s="71">
        <f>G10-G18+G96</f>
        <v>-38256.490000000005</v>
      </c>
      <c r="H107" s="72">
        <f>F107/E107*100</f>
        <v>59.163064908503415</v>
      </c>
      <c r="I107" s="52">
        <f t="shared" si="34"/>
        <v>-364141.59</v>
      </c>
      <c r="J107" s="52">
        <f t="shared" si="36"/>
        <v>13.20997973621326</v>
      </c>
      <c r="K107" s="52">
        <f>F107-85425.6</f>
        <v>-30000.990000000005</v>
      </c>
      <c r="L107" s="139">
        <f>F107/85425.6</f>
        <v>0.6488056273529246</v>
      </c>
      <c r="M107" s="71">
        <f>M10-M18+M96</f>
        <v>33666.40000000001</v>
      </c>
      <c r="N107" s="71">
        <f>N10-N18+N96</f>
        <v>552.0800000000029</v>
      </c>
      <c r="O107" s="53">
        <f t="shared" si="35"/>
        <v>-33114.32000000001</v>
      </c>
      <c r="P107" s="52">
        <f>N107/M107*100</f>
        <v>1.6398545731055376</v>
      </c>
      <c r="Q107" s="52">
        <f>N107-28449</f>
        <v>-27896.92</v>
      </c>
      <c r="R107" s="139">
        <f>N107/28449</f>
        <v>0.019405954515097294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24114.70000000001</v>
      </c>
      <c r="F108" s="193">
        <f>F106-F107</f>
        <v>16672.72999999998</v>
      </c>
      <c r="G108" s="62">
        <f>F108-E108</f>
        <v>-7441.97000000003</v>
      </c>
      <c r="H108" s="72">
        <f>F108/E108*100</f>
        <v>69.13928019009141</v>
      </c>
      <c r="I108" s="52">
        <f t="shared" si="34"/>
        <v>-100800.97000000003</v>
      </c>
      <c r="J108" s="52">
        <f t="shared" si="36"/>
        <v>14.19273420348553</v>
      </c>
      <c r="K108" s="52">
        <f>F108-29355.8</f>
        <v>-12683.070000000018</v>
      </c>
      <c r="L108" s="139">
        <f>F108/29355.8</f>
        <v>0.5679535219615879</v>
      </c>
      <c r="M108" s="71">
        <f>M106-M107</f>
        <v>8193.400000000001</v>
      </c>
      <c r="N108" s="71">
        <f>N106-N107</f>
        <v>124.80000000000018</v>
      </c>
      <c r="O108" s="53">
        <f t="shared" si="35"/>
        <v>-8068.600000000001</v>
      </c>
      <c r="P108" s="52">
        <f>N108/M108*100</f>
        <v>1.5231771913979564</v>
      </c>
      <c r="Q108" s="52">
        <f>N108-12330.3</f>
        <v>-12205.5</v>
      </c>
      <c r="R108" s="139">
        <f>N108/12330.3</f>
        <v>0.010121408238242395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93681.1</v>
      </c>
      <c r="F109" s="71">
        <f>F107</f>
        <v>55424.61</v>
      </c>
      <c r="G109" s="111">
        <f>F109-E109</f>
        <v>-38256.490000000005</v>
      </c>
      <c r="H109" s="72">
        <f>F109/E109*100</f>
        <v>59.163064908503415</v>
      </c>
      <c r="I109" s="81">
        <f t="shared" si="34"/>
        <v>-364141.59</v>
      </c>
      <c r="J109" s="52">
        <f t="shared" si="36"/>
        <v>13.20997973621326</v>
      </c>
      <c r="K109" s="52"/>
      <c r="L109" s="139"/>
      <c r="M109" s="122">
        <f>E109-лютий!E109</f>
        <v>33666.40000000001</v>
      </c>
      <c r="N109" s="71">
        <f>N107</f>
        <v>552.0800000000029</v>
      </c>
      <c r="O109" s="118">
        <f t="shared" si="35"/>
        <v>-33114.32000000001</v>
      </c>
      <c r="P109" s="52">
        <f>N109/M109*100</f>
        <v>1.6398545731055376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4870.4</v>
      </c>
      <c r="F110" s="87">
        <f>'[1]лютий'!$C$28/1000</f>
        <v>3219.411</v>
      </c>
      <c r="G110" s="62">
        <f>F110-E110</f>
        <v>-1650.9889999999996</v>
      </c>
      <c r="H110" s="72"/>
      <c r="I110" s="85">
        <f t="shared" si="34"/>
        <v>-1650.969</v>
      </c>
      <c r="J110" s="52"/>
      <c r="K110" s="52"/>
      <c r="L110" s="139"/>
      <c r="M110" s="40">
        <f>E110-'січень '!E110</f>
        <v>3301.9699999999993</v>
      </c>
      <c r="N110" s="71">
        <f>F110-'січень '!F110</f>
        <v>1650.98</v>
      </c>
      <c r="O110" s="86"/>
      <c r="P110" s="52">
        <f>N110/M110*100</f>
        <v>49.999848575244485</v>
      </c>
      <c r="Q110" s="52"/>
      <c r="R110" s="139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9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4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F113-4.6</f>
        <v>-7.209999999999999</v>
      </c>
      <c r="L113" s="140">
        <f>F113/4.6</f>
        <v>-0.5673913043478261</v>
      </c>
      <c r="M113" s="40">
        <f>E113-лютий!E113</f>
        <v>0</v>
      </c>
      <c r="N113" s="40">
        <f>F113-лютий!F113</f>
        <v>0</v>
      </c>
      <c r="O113" s="53"/>
      <c r="P113" s="60"/>
      <c r="Q113" s="60">
        <f>N113-3.2</f>
        <v>-3.2</v>
      </c>
      <c r="R113" s="140"/>
    </row>
    <row r="114" spans="2:18" ht="15.75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180.48</v>
      </c>
      <c r="G114" s="49">
        <f t="shared" si="37"/>
        <v>-534.12</v>
      </c>
      <c r="H114" s="40">
        <f aca="true" t="shared" si="39" ref="H114:H125">F114/E114*100</f>
        <v>25.2560873215785</v>
      </c>
      <c r="I114" s="60">
        <f t="shared" si="38"/>
        <v>-3491.02</v>
      </c>
      <c r="J114" s="60">
        <f aca="true" t="shared" si="40" ref="J114:J120">F114/D114*100</f>
        <v>4.915702029143402</v>
      </c>
      <c r="K114" s="60">
        <f>F114-834.4</f>
        <v>-653.92</v>
      </c>
      <c r="L114" s="140">
        <f>F114/834.4</f>
        <v>0.21629913710450624</v>
      </c>
      <c r="M114" s="40">
        <f>E114-лютий!E114</f>
        <v>327.5</v>
      </c>
      <c r="N114" s="40">
        <f>F114-лютий!F114</f>
        <v>1.2399999999999807</v>
      </c>
      <c r="O114" s="53">
        <f aca="true" t="shared" si="41" ref="O114:O125">N114-M114</f>
        <v>-326.26</v>
      </c>
      <c r="P114" s="60">
        <f>N114/M114*100</f>
        <v>0.3786259541984674</v>
      </c>
      <c r="Q114" s="60">
        <f>N114-358.7</f>
        <v>-357.46000000000004</v>
      </c>
      <c r="R114" s="140">
        <f>N114/358.7</f>
        <v>0.0034569277948145547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68.5</v>
      </c>
      <c r="F115" s="32">
        <v>46.69</v>
      </c>
      <c r="G115" s="49">
        <f t="shared" si="37"/>
        <v>-21.810000000000002</v>
      </c>
      <c r="H115" s="40">
        <f t="shared" si="39"/>
        <v>68.16058394160584</v>
      </c>
      <c r="I115" s="60">
        <f t="shared" si="38"/>
        <v>-221.41000000000003</v>
      </c>
      <c r="J115" s="60">
        <f t="shared" si="40"/>
        <v>17.415143603133156</v>
      </c>
      <c r="K115" s="60">
        <f>F115-63.4</f>
        <v>-16.71</v>
      </c>
      <c r="L115" s="140">
        <f>F115/63.4</f>
        <v>0.7364353312302839</v>
      </c>
      <c r="M115" s="40">
        <f>E115-лютий!E115</f>
        <v>22</v>
      </c>
      <c r="N115" s="40">
        <f>F115-лютий!F115</f>
        <v>0</v>
      </c>
      <c r="O115" s="53">
        <f t="shared" si="41"/>
        <v>-22</v>
      </c>
      <c r="P115" s="60">
        <f>N115/M115*100</f>
        <v>0</v>
      </c>
      <c r="Q115" s="60">
        <f>N115-16.9</f>
        <v>-16.9</v>
      </c>
      <c r="R115" s="140">
        <f>N115/16.9</f>
        <v>0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224.55999999999997</v>
      </c>
      <c r="G116" s="62">
        <f t="shared" si="37"/>
        <v>-558.5400000000001</v>
      </c>
      <c r="H116" s="72">
        <f t="shared" si="39"/>
        <v>28.675775762993226</v>
      </c>
      <c r="I116" s="61">
        <f t="shared" si="38"/>
        <v>-3715.04</v>
      </c>
      <c r="J116" s="61">
        <f t="shared" si="40"/>
        <v>5.700071073205401</v>
      </c>
      <c r="K116" s="61">
        <f>F116-902.4</f>
        <v>-677.84</v>
      </c>
      <c r="L116" s="141">
        <f>F116/902.4</f>
        <v>0.24884751773049643</v>
      </c>
      <c r="M116" s="62">
        <f>M114+M115+M113</f>
        <v>349.5</v>
      </c>
      <c r="N116" s="38">
        <f>SUM(N113:N115)</f>
        <v>1.2399999999999807</v>
      </c>
      <c r="O116" s="61">
        <f t="shared" si="41"/>
        <v>-348.26</v>
      </c>
      <c r="P116" s="61">
        <f>N116/M116*100</f>
        <v>0.35479256080113897</v>
      </c>
      <c r="Q116" s="61">
        <f>N116-378.9</f>
        <v>-377.65999999999997</v>
      </c>
      <c r="R116" s="141">
        <f>N116/378.9</f>
        <v>0.003272631301134813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40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58.68</v>
      </c>
      <c r="G118" s="49">
        <f t="shared" si="37"/>
        <v>58.68</v>
      </c>
      <c r="H118" s="40" t="e">
        <f t="shared" si="39"/>
        <v>#DIV/0!</v>
      </c>
      <c r="I118" s="60">
        <f t="shared" si="38"/>
        <v>58.68</v>
      </c>
      <c r="J118" s="60" t="e">
        <f t="shared" si="40"/>
        <v>#DIV/0!</v>
      </c>
      <c r="K118" s="60">
        <f>F118-7.7</f>
        <v>50.98</v>
      </c>
      <c r="L118" s="140">
        <f>F118/7.7</f>
        <v>7.62077922077922</v>
      </c>
      <c r="M118" s="40">
        <f>E118-лютий!E118</f>
        <v>0</v>
      </c>
      <c r="N118" s="40">
        <f>F118-лютий!F118</f>
        <v>1.2899999999999991</v>
      </c>
      <c r="O118" s="53" t="s">
        <v>166</v>
      </c>
      <c r="P118" s="60"/>
      <c r="Q118" s="60">
        <f>N118-5</f>
        <v>-3.710000000000001</v>
      </c>
      <c r="R118" s="140">
        <f>N118/5</f>
        <v>0.25799999999999984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16975.24</v>
      </c>
      <c r="G119" s="49">
        <f t="shared" si="37"/>
        <v>-1637.359999999997</v>
      </c>
      <c r="H119" s="40">
        <f t="shared" si="39"/>
        <v>91.20294854023619</v>
      </c>
      <c r="I119" s="53">
        <f t="shared" si="38"/>
        <v>-9012.144999999997</v>
      </c>
      <c r="J119" s="60">
        <f t="shared" si="40"/>
        <v>65.32107789991183</v>
      </c>
      <c r="K119" s="60">
        <f>F119-17244.2</f>
        <v>-268.9599999999991</v>
      </c>
      <c r="L119" s="140">
        <f>F119/17244.2</f>
        <v>0.9844028716901916</v>
      </c>
      <c r="M119" s="40">
        <f>E119-лютий!E119</f>
        <v>3092.999999999998</v>
      </c>
      <c r="N119" s="40">
        <f>F119-лютий!F119</f>
        <v>93.90000000000146</v>
      </c>
      <c r="O119" s="53">
        <f t="shared" si="41"/>
        <v>-2999.0999999999967</v>
      </c>
      <c r="P119" s="60">
        <f aca="true" t="shared" si="42" ref="P119:P124">N119/M119*100</f>
        <v>3.0358874878758977</v>
      </c>
      <c r="Q119" s="60">
        <f>N119-8093.7</f>
        <v>-7999.799999999998</v>
      </c>
      <c r="R119" s="140">
        <f>N119/8093.7</f>
        <v>0.011601616071759698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475.92</v>
      </c>
      <c r="G120" s="49">
        <f t="shared" si="37"/>
        <v>475.92</v>
      </c>
      <c r="H120" s="40" t="e">
        <f t="shared" si="39"/>
        <v>#DIV/0!</v>
      </c>
      <c r="I120" s="60">
        <f t="shared" si="38"/>
        <v>475.92</v>
      </c>
      <c r="J120" s="60" t="e">
        <f t="shared" si="40"/>
        <v>#DIV/0!</v>
      </c>
      <c r="K120" s="60">
        <f>F120-280.5</f>
        <v>195.42000000000002</v>
      </c>
      <c r="L120" s="140">
        <f>F120/230.5</f>
        <v>2.0647288503253796</v>
      </c>
      <c r="M120" s="40">
        <f>E120-лютий!E120</f>
        <v>0</v>
      </c>
      <c r="N120" s="40">
        <f>F120-лютий!F120</f>
        <v>0.020000000000038654</v>
      </c>
      <c r="O120" s="53">
        <f t="shared" si="41"/>
        <v>0.020000000000038654</v>
      </c>
      <c r="P120" s="60" t="e">
        <f t="shared" si="42"/>
        <v>#DIV/0!</v>
      </c>
      <c r="Q120" s="60">
        <f>N120-230.3</f>
        <v>-230.27999999999997</v>
      </c>
      <c r="R120" s="140">
        <f>N120/230.3</f>
        <v>8.68432479376407E-05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1072.1</v>
      </c>
      <c r="G121" s="49">
        <f t="shared" si="37"/>
        <v>1072.1</v>
      </c>
      <c r="H121" s="40" t="e">
        <f t="shared" si="39"/>
        <v>#DIV/0!</v>
      </c>
      <c r="I121" s="60">
        <f t="shared" si="38"/>
        <v>1072.1</v>
      </c>
      <c r="J121" s="60" t="e">
        <f>F121/D121*100</f>
        <v>#DIV/0!</v>
      </c>
      <c r="K121" s="60">
        <f>F121-6993.4</f>
        <v>-5921.299999999999</v>
      </c>
      <c r="L121" s="140">
        <f>F121/6993.4</f>
        <v>0.15330168444533418</v>
      </c>
      <c r="M121" s="40">
        <f>E121-лютий!E121</f>
        <v>0</v>
      </c>
      <c r="N121" s="40">
        <f>F121-лютий!F121</f>
        <v>28.929999999999836</v>
      </c>
      <c r="O121" s="53">
        <f t="shared" si="41"/>
        <v>28.929999999999836</v>
      </c>
      <c r="P121" s="60" t="e">
        <f t="shared" si="42"/>
        <v>#DIV/0!</v>
      </c>
      <c r="Q121" s="60">
        <f>N121-50.2</f>
        <v>-21.270000000000167</v>
      </c>
      <c r="R121" s="140">
        <f>N121/50.2</f>
        <v>0.5762948207171282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F122-314.5</f>
        <v>-227.1</v>
      </c>
      <c r="L122" s="140">
        <f>F122/314.5</f>
        <v>0.2779014308426073</v>
      </c>
      <c r="M122" s="40">
        <f>E122-лютий!E122</f>
        <v>0</v>
      </c>
      <c r="N122" s="40">
        <f>F122-лютий!F122</f>
        <v>0</v>
      </c>
      <c r="O122" s="53">
        <f t="shared" si="41"/>
        <v>0</v>
      </c>
      <c r="P122" s="60" t="e">
        <f t="shared" si="42"/>
        <v>#DIV/0!</v>
      </c>
      <c r="Q122" s="60">
        <f>N122-292.3</f>
        <v>-292.3</v>
      </c>
      <c r="R122" s="140">
        <f>N122/292.3</f>
        <v>0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18669.34</v>
      </c>
      <c r="G123" s="62">
        <f t="shared" si="37"/>
        <v>56.7400000000016</v>
      </c>
      <c r="H123" s="72">
        <f t="shared" si="39"/>
        <v>100.30484725401074</v>
      </c>
      <c r="I123" s="61">
        <f t="shared" si="38"/>
        <v>-7318.044999999998</v>
      </c>
      <c r="J123" s="61">
        <f>F123/D123*100</f>
        <v>71.84001006642262</v>
      </c>
      <c r="K123" s="61">
        <f>F123-24840.3</f>
        <v>-6170.959999999999</v>
      </c>
      <c r="L123" s="141">
        <f>F123/24840.3</f>
        <v>0.7515746589211886</v>
      </c>
      <c r="M123" s="62">
        <f>M119+M120+M121+M122+M118</f>
        <v>3092.999999999998</v>
      </c>
      <c r="N123" s="62">
        <f>N119+N120+N121+N122+N118</f>
        <v>124.14000000000132</v>
      </c>
      <c r="O123" s="61">
        <f t="shared" si="41"/>
        <v>-2968.859999999997</v>
      </c>
      <c r="P123" s="61">
        <f t="shared" si="42"/>
        <v>4.013579049466583</v>
      </c>
      <c r="Q123" s="61">
        <f>N123-8732.6</f>
        <v>-8608.46</v>
      </c>
      <c r="R123" s="141">
        <f>N123/8732.6</f>
        <v>0.014215697501317055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0.16</v>
      </c>
      <c r="G124" s="49">
        <f t="shared" si="37"/>
        <v>-8</v>
      </c>
      <c r="H124" s="40">
        <f t="shared" si="39"/>
        <v>1.9607843137254901</v>
      </c>
      <c r="I124" s="60">
        <f t="shared" si="38"/>
        <v>-43.34</v>
      </c>
      <c r="J124" s="60">
        <f>F124/D124*100</f>
        <v>0.367816091954023</v>
      </c>
      <c r="K124" s="60">
        <f>F124-97</f>
        <v>-96.84</v>
      </c>
      <c r="L124" s="140">
        <f>F124/97</f>
        <v>0.0016494845360824743</v>
      </c>
      <c r="M124" s="40">
        <f>E124-лютий!E124</f>
        <v>3</v>
      </c>
      <c r="N124" s="40">
        <f>F124-лютий!F124</f>
        <v>0</v>
      </c>
      <c r="O124" s="53">
        <f t="shared" si="41"/>
        <v>-3</v>
      </c>
      <c r="P124" s="60">
        <f>N124/M124*100</f>
        <v>0</v>
      </c>
      <c r="Q124" s="60">
        <f>N124-26.2</f>
        <v>-26.2</v>
      </c>
      <c r="R124" s="140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40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40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N126-8.4</f>
        <v>-8.4</v>
      </c>
      <c r="R126" s="142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2600.48</v>
      </c>
      <c r="G127" s="49">
        <f aca="true" t="shared" si="43" ref="G127:G134">F127-E127</f>
        <v>92.98000000000002</v>
      </c>
      <c r="H127" s="40">
        <f>F127/E127*100</f>
        <v>103.70807577268195</v>
      </c>
      <c r="I127" s="60">
        <f aca="true" t="shared" si="44" ref="I127:I134">F127-D127</f>
        <v>-6099.52</v>
      </c>
      <c r="J127" s="60">
        <f>F127/D127*100</f>
        <v>29.89057471264368</v>
      </c>
      <c r="K127" s="60">
        <f>F127-2439.6</f>
        <v>160.8800000000001</v>
      </c>
      <c r="L127" s="140">
        <f>F127/2439.6</f>
        <v>1.065945236924086</v>
      </c>
      <c r="M127" s="40">
        <f>E127-лютий!E127</f>
        <v>0</v>
      </c>
      <c r="N127" s="40">
        <f>F127-лютий!F127</f>
        <v>-884.1599999999999</v>
      </c>
      <c r="O127" s="53">
        <f aca="true" t="shared" si="45" ref="O127:O134">N127-M127</f>
        <v>-884.1599999999999</v>
      </c>
      <c r="P127" s="60" t="e">
        <f>N127/M127*100</f>
        <v>#DIV/0!</v>
      </c>
      <c r="Q127" s="60">
        <f>N127-2355</f>
        <v>-3239.16</v>
      </c>
      <c r="R127" s="140">
        <f>N127/2355</f>
        <v>-0.37543949044585984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F128-(-0.8)</f>
        <v>0.5700000000000001</v>
      </c>
      <c r="L128" s="140">
        <f>F128/(-0.8)</f>
        <v>0.2875</v>
      </c>
      <c r="M128" s="40">
        <f>E128-лютий!E128</f>
        <v>0</v>
      </c>
      <c r="N128" s="40">
        <f>F128-лютий!F128</f>
        <v>0</v>
      </c>
      <c r="O128" s="53">
        <f t="shared" si="45"/>
        <v>0</v>
      </c>
      <c r="P128" s="60"/>
      <c r="Q128" s="60">
        <f>N128-0.1</f>
        <v>-0.1</v>
      </c>
      <c r="R128" s="140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2609.17</v>
      </c>
      <c r="G129" s="62">
        <f t="shared" si="43"/>
        <v>86.3100000000004</v>
      </c>
      <c r="H129" s="72">
        <f>F129/E129*100</f>
        <v>103.42111730337793</v>
      </c>
      <c r="I129" s="61">
        <f t="shared" si="44"/>
        <v>-6141.530000000001</v>
      </c>
      <c r="J129" s="61">
        <f>F129/D129*100</f>
        <v>29.81670037825545</v>
      </c>
      <c r="K129" s="61">
        <f>F129-2544.3</f>
        <v>64.86999999999989</v>
      </c>
      <c r="L129" s="141">
        <f>G129/2544.3</f>
        <v>0.033922886452069485</v>
      </c>
      <c r="M129" s="62">
        <f>M124+M127+M128+M126</f>
        <v>3</v>
      </c>
      <c r="N129" s="62">
        <f>N124+N127+N128+N126</f>
        <v>-884.1599999999999</v>
      </c>
      <c r="O129" s="61">
        <f t="shared" si="45"/>
        <v>-887.1599999999999</v>
      </c>
      <c r="P129" s="61">
        <f>N129/M129*100</f>
        <v>-29471.999999999996</v>
      </c>
      <c r="Q129" s="61">
        <f>N129-2389.7</f>
        <v>-3273.8599999999997</v>
      </c>
      <c r="R129" s="139">
        <f>N129/2389.7</f>
        <v>-0.3699878645855128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1.98</v>
      </c>
      <c r="G130" s="49">
        <f>F130-E130</f>
        <v>-5.869999999999999</v>
      </c>
      <c r="H130" s="40">
        <f>F130/E130*100</f>
        <v>25.222929936305732</v>
      </c>
      <c r="I130" s="60">
        <f>F130-D130</f>
        <v>-28.02</v>
      </c>
      <c r="J130" s="60">
        <f>F130/D130*100</f>
        <v>6.6000000000000005</v>
      </c>
      <c r="K130" s="60">
        <f>F130-8.4</f>
        <v>-6.42</v>
      </c>
      <c r="L130" s="140">
        <f>F130/8.4</f>
        <v>0.2357142857142857</v>
      </c>
      <c r="M130" s="40">
        <f>E130-лютий!E130</f>
        <v>7</v>
      </c>
      <c r="N130" s="40">
        <f>F130-лютий!F130</f>
        <v>0</v>
      </c>
      <c r="O130" s="53">
        <f>N130-M130</f>
        <v>-7</v>
      </c>
      <c r="P130" s="60">
        <f>N130/M130*100</f>
        <v>0</v>
      </c>
      <c r="Q130" s="60">
        <f>N130-0.5</f>
        <v>-0.5</v>
      </c>
      <c r="R130" s="140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40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40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21505.050000000003</v>
      </c>
      <c r="G133" s="50">
        <f t="shared" si="43"/>
        <v>-421.35999999999694</v>
      </c>
      <c r="H133" s="51">
        <f>F133/E133*100</f>
        <v>98.07829918349607</v>
      </c>
      <c r="I133" s="36">
        <f t="shared" si="44"/>
        <v>-17202.634999999995</v>
      </c>
      <c r="J133" s="36">
        <f>F133/D133*100</f>
        <v>55.55757209453369</v>
      </c>
      <c r="K133" s="36">
        <f>F133-28295.3</f>
        <v>-6790.249999999996</v>
      </c>
      <c r="L133" s="138">
        <f>F133/28295.3</f>
        <v>0.7600219824493821</v>
      </c>
      <c r="M133" s="31">
        <f>M116+M130+M123+M129+M132+M131</f>
        <v>3452.499999999998</v>
      </c>
      <c r="N133" s="31">
        <f>N116+N130+N123+N129+N132+N131</f>
        <v>-758.7799999999986</v>
      </c>
      <c r="O133" s="36">
        <f t="shared" si="45"/>
        <v>-4211.279999999997</v>
      </c>
      <c r="P133" s="36">
        <f>N133/M133*100</f>
        <v>-21.977697320782013</v>
      </c>
      <c r="Q133" s="36">
        <f>N133-11501.6</f>
        <v>-12260.38</v>
      </c>
      <c r="R133" s="138">
        <f>N133/11501.6</f>
        <v>-0.06597169089517968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139722.21000000002</v>
      </c>
      <c r="F134" s="31">
        <f>F106+F133</f>
        <v>93602.38999999998</v>
      </c>
      <c r="G134" s="50">
        <f t="shared" si="43"/>
        <v>-46119.820000000036</v>
      </c>
      <c r="H134" s="51">
        <f>F134/E134*100</f>
        <v>66.99177603904202</v>
      </c>
      <c r="I134" s="36">
        <f t="shared" si="44"/>
        <v>-482145.19499999995</v>
      </c>
      <c r="J134" s="36">
        <f>F134/D134*100</f>
        <v>16.257539317338168</v>
      </c>
      <c r="K134" s="36">
        <f>F134-143076.7</f>
        <v>-49474.31000000003</v>
      </c>
      <c r="L134" s="138">
        <f>F134/143076.7</f>
        <v>0.6542112726949949</v>
      </c>
      <c r="M134" s="22">
        <f>M106+M133</f>
        <v>45312.30000000001</v>
      </c>
      <c r="N134" s="22">
        <f>N106+N133</f>
        <v>-81.89999999999554</v>
      </c>
      <c r="O134" s="36">
        <f t="shared" si="45"/>
        <v>-45394.200000000004</v>
      </c>
      <c r="P134" s="36">
        <f>N134/M134*100</f>
        <v>-0.18074562535999172</v>
      </c>
      <c r="Q134" s="36">
        <f>N134-52280.8</f>
        <v>-52362.7</v>
      </c>
      <c r="R134" s="138">
        <f>N134/52280.8</f>
        <v>-0.001566540680326153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19</v>
      </c>
      <c r="D136" s="4" t="s">
        <v>118</v>
      </c>
    </row>
    <row r="137" spans="2:17" ht="31.5">
      <c r="B137" s="78" t="s">
        <v>154</v>
      </c>
      <c r="C137" s="39">
        <f>IF(O106&lt;0,ABS(O106/C136),0)</f>
        <v>2167.522105263158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41701</v>
      </c>
      <c r="D138" s="39">
        <v>676.9</v>
      </c>
      <c r="N138" s="152"/>
      <c r="O138" s="152"/>
    </row>
    <row r="139" spans="3:15" ht="15.75">
      <c r="C139" s="120">
        <v>41698</v>
      </c>
      <c r="D139" s="39">
        <v>5196.6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41697</v>
      </c>
      <c r="D140" s="39">
        <v>2276.8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122094.66440000001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108269.44244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4" right="0.18" top="0.26" bottom="0.36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6" sqref="I14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0.875" style="131" hidden="1" customWidth="1"/>
    <col min="19" max="16384" width="9.125" style="4" customWidth="1"/>
  </cols>
  <sheetData>
    <row r="1" spans="1:18" s="1" customFormat="1" ht="26.25" customHeight="1">
      <c r="A1" s="179" t="s">
        <v>193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8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81"/>
      <c r="B3" s="183"/>
      <c r="C3" s="184" t="s">
        <v>0</v>
      </c>
      <c r="D3" s="185" t="s">
        <v>186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189</v>
      </c>
      <c r="N3" s="172" t="s">
        <v>184</v>
      </c>
      <c r="O3" s="172"/>
      <c r="P3" s="172"/>
      <c r="Q3" s="127"/>
      <c r="R3" s="130"/>
    </row>
    <row r="4" spans="1:18" ht="22.5" customHeight="1">
      <c r="A4" s="181"/>
      <c r="B4" s="183"/>
      <c r="C4" s="184"/>
      <c r="D4" s="185"/>
      <c r="E4" s="190" t="s">
        <v>196</v>
      </c>
      <c r="F4" s="173" t="s">
        <v>116</v>
      </c>
      <c r="G4" s="175" t="s">
        <v>197</v>
      </c>
      <c r="H4" s="177" t="s">
        <v>167</v>
      </c>
      <c r="I4" s="170" t="s">
        <v>187</v>
      </c>
      <c r="J4" s="166" t="s">
        <v>188</v>
      </c>
      <c r="K4" s="125" t="s">
        <v>173</v>
      </c>
      <c r="L4" s="132" t="s">
        <v>172</v>
      </c>
      <c r="M4" s="189"/>
      <c r="N4" s="168" t="s">
        <v>194</v>
      </c>
      <c r="O4" s="170" t="s">
        <v>136</v>
      </c>
      <c r="P4" s="172" t="s">
        <v>135</v>
      </c>
      <c r="Q4" s="133" t="s">
        <v>173</v>
      </c>
      <c r="R4" s="134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183</v>
      </c>
      <c r="L5" s="164"/>
      <c r="M5" s="189"/>
      <c r="N5" s="169"/>
      <c r="O5" s="171"/>
      <c r="P5" s="172"/>
      <c r="Q5" s="153" t="s">
        <v>178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169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8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6">
        <f>N8/31977.9</f>
        <v>1.1121771598510222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7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56">
        <f>F10-55122.8</f>
        <v>-376.81000000000495</v>
      </c>
      <c r="L10" s="137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3">
        <f>N10-28390.4</f>
        <v>-212.52000000000407</v>
      </c>
      <c r="R10" s="144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7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7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7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7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7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7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7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7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7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7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7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7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7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7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7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7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7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7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7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7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7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7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7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7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7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7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7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7">
        <f t="shared" si="13"/>
        <v>0</v>
      </c>
    </row>
    <row r="29" spans="1:18" s="6" customFormat="1" ht="15.75">
      <c r="A29" s="8"/>
      <c r="B29" s="76" t="s">
        <v>180</v>
      </c>
      <c r="C29" s="145">
        <v>11010232</v>
      </c>
      <c r="D29" s="146">
        <v>3000</v>
      </c>
      <c r="E29" s="41">
        <v>716</v>
      </c>
      <c r="F29" s="148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50">
        <f>F29-322.6</f>
        <v>395.03999999999996</v>
      </c>
      <c r="L29" s="151">
        <f>F29/322.6</f>
        <v>2.2245505269683816</v>
      </c>
      <c r="M29" s="148">
        <f>E29-'січень '!E29</f>
        <v>357.2</v>
      </c>
      <c r="N29" s="148">
        <f>F29-'січень '!F29</f>
        <v>358.84999999999997</v>
      </c>
      <c r="O29" s="150"/>
      <c r="P29" s="56"/>
      <c r="Q29" s="56">
        <f>N29-162.6</f>
        <v>196.24999999999997</v>
      </c>
      <c r="R29" s="137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7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7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7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56">
        <f>F33-12535.7</f>
        <v>221.29999999999927</v>
      </c>
      <c r="L33" s="137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3">
        <f>N33-6362.9</f>
        <v>100.8100000000004</v>
      </c>
      <c r="R33" s="144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7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3">
        <f aca="true" t="shared" si="21" ref="Q34:Q54">N34-6362.9</f>
        <v>-6362.9</v>
      </c>
      <c r="R34" s="144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7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3">
        <f t="shared" si="21"/>
        <v>-6362.9</v>
      </c>
      <c r="R35" s="144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7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3">
        <f t="shared" si="21"/>
        <v>-6362.9</v>
      </c>
      <c r="R36" s="144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7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3">
        <f t="shared" si="21"/>
        <v>-6362.9</v>
      </c>
      <c r="R37" s="144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7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3">
        <f t="shared" si="21"/>
        <v>-6362.9</v>
      </c>
      <c r="R38" s="144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7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3">
        <f t="shared" si="21"/>
        <v>-6362.9</v>
      </c>
      <c r="R39" s="144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7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3">
        <f t="shared" si="21"/>
        <v>-6362.9</v>
      </c>
      <c r="R40" s="144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7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3">
        <f t="shared" si="21"/>
        <v>-6362.9</v>
      </c>
      <c r="R41" s="144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7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3">
        <f t="shared" si="21"/>
        <v>-6362.9</v>
      </c>
      <c r="R42" s="144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7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3">
        <f t="shared" si="21"/>
        <v>-6362.9</v>
      </c>
      <c r="R43" s="144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7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3">
        <f t="shared" si="21"/>
        <v>-6362.9</v>
      </c>
      <c r="R44" s="144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7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3">
        <f t="shared" si="21"/>
        <v>-6362.9</v>
      </c>
      <c r="R45" s="144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7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3">
        <f t="shared" si="21"/>
        <v>-6362.9</v>
      </c>
      <c r="R46" s="144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7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3">
        <f t="shared" si="21"/>
        <v>-6362.9</v>
      </c>
      <c r="R47" s="144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7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3">
        <f t="shared" si="21"/>
        <v>-6362.9</v>
      </c>
      <c r="R48" s="144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7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3">
        <f t="shared" si="21"/>
        <v>-6362.9</v>
      </c>
      <c r="R49" s="144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7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3">
        <f t="shared" si="21"/>
        <v>-6362.9</v>
      </c>
      <c r="R50" s="144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7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3">
        <f t="shared" si="21"/>
        <v>-6362.9</v>
      </c>
      <c r="R51" s="144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7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3">
        <f t="shared" si="21"/>
        <v>-6362.9</v>
      </c>
      <c r="R52" s="144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7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3">
        <f t="shared" si="21"/>
        <v>-6362.9</v>
      </c>
      <c r="R53" s="144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7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3">
        <f t="shared" si="21"/>
        <v>-6362.9</v>
      </c>
      <c r="R54" s="144">
        <f t="shared" si="22"/>
        <v>0</v>
      </c>
    </row>
    <row r="55" spans="1:18" s="6" customFormat="1" ht="15.75">
      <c r="A55" s="8"/>
      <c r="B55" s="76" t="s">
        <v>181</v>
      </c>
      <c r="C55" s="65"/>
      <c r="D55" s="146">
        <f>56066+10200</f>
        <v>66266</v>
      </c>
      <c r="E55" s="146">
        <v>9500</v>
      </c>
      <c r="F55" s="148">
        <v>9480.11</v>
      </c>
      <c r="G55" s="146">
        <f t="shared" si="14"/>
        <v>-19.889999999999418</v>
      </c>
      <c r="H55" s="148">
        <f t="shared" si="15"/>
        <v>99.79063157894737</v>
      </c>
      <c r="I55" s="147">
        <f t="shared" si="18"/>
        <v>-56785.89</v>
      </c>
      <c r="J55" s="147">
        <f t="shared" si="16"/>
        <v>14.306144931035526</v>
      </c>
      <c r="K55" s="150">
        <f>F55-9287.5</f>
        <v>192.61000000000058</v>
      </c>
      <c r="L55" s="151">
        <f>F55/9287.5</f>
        <v>1.0207386271870795</v>
      </c>
      <c r="M55" s="148">
        <f>E55-'січень '!E55</f>
        <v>4812.1</v>
      </c>
      <c r="N55" s="148">
        <f>F55-'січень '!F55</f>
        <v>4792.200000000001</v>
      </c>
      <c r="O55" s="150">
        <f t="shared" si="3"/>
        <v>-19.899999999999636</v>
      </c>
      <c r="P55" s="60">
        <f t="shared" si="17"/>
        <v>99.58645913426571</v>
      </c>
      <c r="Q55" s="143">
        <f>N55-4413.4</f>
        <v>378.8000000000011</v>
      </c>
      <c r="R55" s="144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7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7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7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7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7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7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7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7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7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7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7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7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7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7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7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7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7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7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7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7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8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8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7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7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7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7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7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7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7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7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7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7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7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7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7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7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7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7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7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7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7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7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7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7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7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7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7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7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7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7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7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7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7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7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46"/>
      <c r="E102" s="146"/>
      <c r="F102" s="148">
        <v>130.1</v>
      </c>
      <c r="G102" s="146"/>
      <c r="H102" s="148"/>
      <c r="I102" s="147"/>
      <c r="J102" s="147"/>
      <c r="K102" s="150">
        <f>F102-54.4</f>
        <v>75.69999999999999</v>
      </c>
      <c r="L102" s="151">
        <f>F102/54.4</f>
        <v>2.391544117647059</v>
      </c>
      <c r="M102" s="148">
        <f>E102-'січень '!E102</f>
        <v>0</v>
      </c>
      <c r="N102" s="148">
        <f>F102-'січень '!F102</f>
        <v>65.39999999999999</v>
      </c>
      <c r="O102" s="53"/>
      <c r="P102" s="60"/>
      <c r="Q102" s="60">
        <f>N102-26.6</f>
        <v>38.79999999999999</v>
      </c>
      <c r="R102" s="140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7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7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7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9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8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8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9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9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9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9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9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9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54872.53</v>
      </c>
      <c r="G109" s="111">
        <f>F109-E109</f>
        <v>-5142.169999999998</v>
      </c>
      <c r="H109" s="72">
        <f>F109/E109*100</f>
        <v>91.43181587177808</v>
      </c>
      <c r="I109" s="81">
        <f t="shared" si="34"/>
        <v>-364693.67000000004</v>
      </c>
      <c r="J109" s="52">
        <f t="shared" si="36"/>
        <v>13.078396210180895</v>
      </c>
      <c r="K109" s="52"/>
      <c r="L109" s="139"/>
      <c r="M109" s="122">
        <f>E109-'січень '!E109</f>
        <v>31301.299999999996</v>
      </c>
      <c r="N109" s="71">
        <f>N107</f>
        <v>28224.909999999996</v>
      </c>
      <c r="O109" s="118">
        <f t="shared" si="35"/>
        <v>-3076.3899999999994</v>
      </c>
      <c r="P109" s="52">
        <f>N109/M109*100</f>
        <v>90.17168615999974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-1650.969</v>
      </c>
      <c r="J110" s="52"/>
      <c r="K110" s="52"/>
      <c r="L110" s="139"/>
      <c r="M110" s="40">
        <f>E110-'січень '!E110</f>
        <v>1650.981</v>
      </c>
      <c r="N110" s="71">
        <f>F110-'січень '!F110</f>
        <v>1650.98</v>
      </c>
      <c r="O110" s="86"/>
      <c r="P110" s="52">
        <f>N110/M110*100</f>
        <v>99.99993942995104</v>
      </c>
      <c r="Q110" s="52"/>
      <c r="R110" s="139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9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4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40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40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40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40">
        <f>N114/358.7</f>
        <v>0.30972957903540566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40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40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41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41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40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40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40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40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40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40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40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40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40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40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40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41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41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40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40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40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40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2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40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40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40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40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41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9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40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40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40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40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8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8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8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8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52"/>
      <c r="O138" s="152"/>
    </row>
    <row r="139" spans="3:15" ht="15.75">
      <c r="C139" s="120">
        <v>41697</v>
      </c>
      <c r="D139" s="39">
        <v>2276.8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41696</v>
      </c>
      <c r="D140" s="39">
        <v>3746.1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121970.53</v>
      </c>
      <c r="E142" s="80"/>
      <c r="F142" s="100" t="s">
        <v>147</v>
      </c>
      <c r="G142" s="160" t="s">
        <v>149</v>
      </c>
      <c r="H142" s="160"/>
      <c r="I142" s="116">
        <v>108145.31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49" sqref="G14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9.125" style="131" customWidth="1"/>
    <col min="19" max="16384" width="9.125" style="4" customWidth="1"/>
  </cols>
  <sheetData>
    <row r="1" spans="1:18" s="1" customFormat="1" ht="26.25" customHeight="1">
      <c r="A1" s="179" t="s">
        <v>182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8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81"/>
      <c r="B3" s="183"/>
      <c r="C3" s="184" t="s">
        <v>0</v>
      </c>
      <c r="D3" s="185" t="s">
        <v>192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191</v>
      </c>
      <c r="N3" s="172" t="s">
        <v>177</v>
      </c>
      <c r="O3" s="172"/>
      <c r="P3" s="172"/>
      <c r="Q3" s="127"/>
      <c r="R3" s="130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174</v>
      </c>
      <c r="H4" s="177" t="s">
        <v>175</v>
      </c>
      <c r="I4" s="170" t="s">
        <v>187</v>
      </c>
      <c r="J4" s="166" t="s">
        <v>188</v>
      </c>
      <c r="K4" s="125" t="s">
        <v>173</v>
      </c>
      <c r="L4" s="132" t="s">
        <v>172</v>
      </c>
      <c r="M4" s="189"/>
      <c r="N4" s="168" t="s">
        <v>185</v>
      </c>
      <c r="O4" s="170" t="s">
        <v>136</v>
      </c>
      <c r="P4" s="172" t="s">
        <v>135</v>
      </c>
      <c r="Q4" s="133" t="s">
        <v>173</v>
      </c>
      <c r="R4" s="134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176</v>
      </c>
      <c r="L5" s="164"/>
      <c r="M5" s="189"/>
      <c r="N5" s="169"/>
      <c r="O5" s="171"/>
      <c r="P5" s="172"/>
      <c r="Q5" s="153" t="s">
        <v>178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169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6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56">
        <f>F10-26732.4</f>
        <v>-164.29000000000087</v>
      </c>
      <c r="L10" s="56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3">
        <f>N10-26732.4</f>
        <v>-164.29000000000087</v>
      </c>
      <c r="R10" s="144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7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76" t="s">
        <v>180</v>
      </c>
      <c r="C29" s="145">
        <v>11010232</v>
      </c>
      <c r="D29" s="146">
        <v>3000</v>
      </c>
      <c r="E29" s="146">
        <v>358.8</v>
      </c>
      <c r="F29" s="148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7">
        <f>F29-160.03</f>
        <v>198.76000000000002</v>
      </c>
      <c r="L29" s="147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56"/>
      <c r="R29" s="137"/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4" ref="G33:G55">F33-E33</f>
        <v>0.09000000000014552</v>
      </c>
      <c r="H33" s="40">
        <f aca="true" t="shared" si="15" ref="H33:H55">F33/E33*100</f>
        <v>100.00143011504481</v>
      </c>
      <c r="I33" s="56">
        <f>F33-D33</f>
        <v>-81772.71</v>
      </c>
      <c r="J33" s="56">
        <f aca="true" t="shared" si="16" ref="J33:J55">F33/D33*100</f>
        <v>7.146106329343901</v>
      </c>
      <c r="K33" s="56">
        <f>F33-6172.8</f>
        <v>120.48999999999978</v>
      </c>
      <c r="L33" s="56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7" ref="P33:P55">N33/M33*100</f>
        <v>100.00143011504481</v>
      </c>
      <c r="Q33" s="143">
        <f>N33-6172.8</f>
        <v>120.48999999999978</v>
      </c>
      <c r="R33" s="144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55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56">
        <f aca="true" t="shared" si="20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7"/>
        <v>#DIV/0!</v>
      </c>
      <c r="Q34" s="56"/>
      <c r="R34" s="137"/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56">
        <f t="shared" si="20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7"/>
        <v>#DIV/0!</v>
      </c>
      <c r="Q35" s="56"/>
      <c r="R35" s="137"/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56">
        <f t="shared" si="20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7"/>
        <v>#DIV/0!</v>
      </c>
      <c r="Q36" s="56"/>
      <c r="R36" s="137"/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56">
        <f t="shared" si="20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7"/>
        <v>#DIV/0!</v>
      </c>
      <c r="Q37" s="56"/>
      <c r="R37" s="137"/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56">
        <f t="shared" si="20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7"/>
        <v>#DIV/0!</v>
      </c>
      <c r="Q38" s="56"/>
      <c r="R38" s="137"/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56">
        <f t="shared" si="20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7"/>
        <v>#DIV/0!</v>
      </c>
      <c r="Q39" s="56"/>
      <c r="R39" s="137"/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56">
        <f t="shared" si="20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7"/>
        <v>#DIV/0!</v>
      </c>
      <c r="Q40" s="56"/>
      <c r="R40" s="137"/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56">
        <f t="shared" si="20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7"/>
        <v>#DIV/0!</v>
      </c>
      <c r="Q41" s="56"/>
      <c r="R41" s="137"/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56">
        <f t="shared" si="20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7"/>
        <v>#DIV/0!</v>
      </c>
      <c r="Q42" s="56"/>
      <c r="R42" s="137"/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56">
        <f t="shared" si="20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7"/>
        <v>#DIV/0!</v>
      </c>
      <c r="Q43" s="56"/>
      <c r="R43" s="137"/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56">
        <f t="shared" si="20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7"/>
        <v>#DIV/0!</v>
      </c>
      <c r="Q44" s="56"/>
      <c r="R44" s="137"/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56">
        <f t="shared" si="20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7"/>
        <v>#DIV/0!</v>
      </c>
      <c r="Q45" s="56"/>
      <c r="R45" s="137"/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56">
        <f t="shared" si="20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7"/>
        <v>#DIV/0!</v>
      </c>
      <c r="Q46" s="56"/>
      <c r="R46" s="137"/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56">
        <f t="shared" si="20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7"/>
        <v>#DIV/0!</v>
      </c>
      <c r="Q47" s="56"/>
      <c r="R47" s="137"/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56">
        <f t="shared" si="20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7"/>
        <v>#DIV/0!</v>
      </c>
      <c r="Q48" s="56"/>
      <c r="R48" s="137"/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56">
        <f t="shared" si="20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7"/>
        <v>#DIV/0!</v>
      </c>
      <c r="Q49" s="56"/>
      <c r="R49" s="137"/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56">
        <f t="shared" si="20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7"/>
        <v>#DIV/0!</v>
      </c>
      <c r="Q50" s="56"/>
      <c r="R50" s="137"/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56">
        <f t="shared" si="20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7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56">
        <f t="shared" si="20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7"/>
        <v>#DIV/0!</v>
      </c>
      <c r="Q52" s="56"/>
      <c r="R52" s="137"/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56">
        <f t="shared" si="20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7"/>
        <v>#DIV/0!</v>
      </c>
      <c r="Q53" s="56"/>
      <c r="R53" s="137"/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56">
        <f t="shared" si="20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7"/>
        <v>#DIV/0!</v>
      </c>
      <c r="Q54" s="56"/>
      <c r="R54" s="137"/>
    </row>
    <row r="55" spans="1:18" s="6" customFormat="1" ht="15.75">
      <c r="A55" s="8"/>
      <c r="B55" s="76" t="s">
        <v>181</v>
      </c>
      <c r="C55" s="65"/>
      <c r="D55" s="146">
        <v>66266</v>
      </c>
      <c r="E55" s="146">
        <v>4687.9</v>
      </c>
      <c r="F55" s="148">
        <v>4687.91</v>
      </c>
      <c r="G55" s="146">
        <f t="shared" si="14"/>
        <v>0.010000000000218279</v>
      </c>
      <c r="H55" s="148">
        <f t="shared" si="15"/>
        <v>100.00021331513045</v>
      </c>
      <c r="I55" s="147">
        <f t="shared" si="18"/>
        <v>-61578.09</v>
      </c>
      <c r="J55" s="147">
        <f t="shared" si="16"/>
        <v>7.074382036036579</v>
      </c>
      <c r="K55" s="147">
        <f>F55-4574.19</f>
        <v>113.72000000000025</v>
      </c>
      <c r="L55" s="147">
        <f>F55/4574.19*100</f>
        <v>102.48612322618868</v>
      </c>
      <c r="M55" s="40">
        <f t="shared" si="6"/>
        <v>4687.9</v>
      </c>
      <c r="N55" s="40">
        <f t="shared" si="7"/>
        <v>4687.91</v>
      </c>
      <c r="O55" s="53">
        <f t="shared" si="3"/>
        <v>0.010000000000218279</v>
      </c>
      <c r="P55" s="56">
        <f t="shared" si="17"/>
        <v>100.00021331513045</v>
      </c>
      <c r="Q55" s="56"/>
      <c r="R55" s="137"/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1" ref="G56:G72">F56-E56</f>
        <v>0.09999999999990905</v>
      </c>
      <c r="H56" s="40">
        <f aca="true" t="shared" si="22" ref="H56:H67">F56/E56*100</f>
        <v>100.01895016107636</v>
      </c>
      <c r="I56" s="56">
        <f aca="true" t="shared" si="23" ref="I56:I72">F56-D56</f>
        <v>-6332.2</v>
      </c>
      <c r="J56" s="56">
        <f aca="true" t="shared" si="24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5" ref="O56:O72">N56-M56</f>
        <v>0.09999999999990905</v>
      </c>
      <c r="P56" s="56">
        <f aca="true" t="shared" si="26" ref="P56:P67">N56/M56*100</f>
        <v>100.01895016107636</v>
      </c>
      <c r="Q56" s="56">
        <f>N56-501.4</f>
        <v>26.399999999999977</v>
      </c>
      <c r="R56" s="137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1"/>
        <v>0</v>
      </c>
      <c r="H57" s="40" t="e">
        <f t="shared" si="22"/>
        <v>#DIV/0!</v>
      </c>
      <c r="I57" s="56">
        <f t="shared" si="23"/>
        <v>0</v>
      </c>
      <c r="J57" s="56" t="e">
        <f t="shared" si="24"/>
        <v>#DIV/0!</v>
      </c>
      <c r="K57" s="56"/>
      <c r="L57" s="56">
        <f aca="true" t="shared" si="27" ref="L57:L67">F57</f>
        <v>0</v>
      </c>
      <c r="M57" s="40">
        <f t="shared" si="6"/>
        <v>0</v>
      </c>
      <c r="N57" s="40">
        <f t="shared" si="7"/>
        <v>0</v>
      </c>
      <c r="O57" s="53">
        <f t="shared" si="25"/>
        <v>0</v>
      </c>
      <c r="P57" s="56" t="e">
        <f t="shared" si="26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1"/>
        <v>0</v>
      </c>
      <c r="H58" s="40" t="e">
        <f t="shared" si="22"/>
        <v>#DIV/0!</v>
      </c>
      <c r="I58" s="56">
        <f t="shared" si="23"/>
        <v>0</v>
      </c>
      <c r="J58" s="56" t="e">
        <f t="shared" si="24"/>
        <v>#DIV/0!</v>
      </c>
      <c r="K58" s="56"/>
      <c r="L58" s="56">
        <f t="shared" si="27"/>
        <v>0</v>
      </c>
      <c r="M58" s="40">
        <f t="shared" si="6"/>
        <v>0</v>
      </c>
      <c r="N58" s="40">
        <f t="shared" si="7"/>
        <v>0</v>
      </c>
      <c r="O58" s="53">
        <f t="shared" si="25"/>
        <v>0</v>
      </c>
      <c r="P58" s="56" t="e">
        <f t="shared" si="26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1"/>
        <v>0</v>
      </c>
      <c r="H59" s="40" t="e">
        <f t="shared" si="22"/>
        <v>#DIV/0!</v>
      </c>
      <c r="I59" s="56">
        <f t="shared" si="23"/>
        <v>0</v>
      </c>
      <c r="J59" s="56" t="e">
        <f t="shared" si="24"/>
        <v>#DIV/0!</v>
      </c>
      <c r="K59" s="56"/>
      <c r="L59" s="56">
        <f t="shared" si="27"/>
        <v>0</v>
      </c>
      <c r="M59" s="40">
        <f t="shared" si="6"/>
        <v>0</v>
      </c>
      <c r="N59" s="40">
        <f t="shared" si="7"/>
        <v>0</v>
      </c>
      <c r="O59" s="53">
        <f t="shared" si="25"/>
        <v>0</v>
      </c>
      <c r="P59" s="56" t="e">
        <f t="shared" si="26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1"/>
        <v>0</v>
      </c>
      <c r="H60" s="40" t="e">
        <f t="shared" si="22"/>
        <v>#DIV/0!</v>
      </c>
      <c r="I60" s="56">
        <f t="shared" si="23"/>
        <v>0</v>
      </c>
      <c r="J60" s="56" t="e">
        <f t="shared" si="24"/>
        <v>#DIV/0!</v>
      </c>
      <c r="K60" s="56"/>
      <c r="L60" s="56">
        <f t="shared" si="27"/>
        <v>0</v>
      </c>
      <c r="M60" s="40">
        <f t="shared" si="6"/>
        <v>0</v>
      </c>
      <c r="N60" s="40">
        <f t="shared" si="7"/>
        <v>0</v>
      </c>
      <c r="O60" s="53">
        <f t="shared" si="25"/>
        <v>0</v>
      </c>
      <c r="P60" s="56" t="e">
        <f t="shared" si="26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1"/>
        <v>0</v>
      </c>
      <c r="H61" s="40" t="e">
        <f t="shared" si="22"/>
        <v>#DIV/0!</v>
      </c>
      <c r="I61" s="56">
        <f t="shared" si="23"/>
        <v>0</v>
      </c>
      <c r="J61" s="56" t="e">
        <f t="shared" si="24"/>
        <v>#DIV/0!</v>
      </c>
      <c r="K61" s="56"/>
      <c r="L61" s="56">
        <f t="shared" si="27"/>
        <v>0</v>
      </c>
      <c r="M61" s="40">
        <f t="shared" si="6"/>
        <v>0</v>
      </c>
      <c r="N61" s="40">
        <f t="shared" si="7"/>
        <v>0</v>
      </c>
      <c r="O61" s="53">
        <f t="shared" si="25"/>
        <v>0</v>
      </c>
      <c r="P61" s="56" t="e">
        <f t="shared" si="26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1"/>
        <v>0</v>
      </c>
      <c r="H62" s="40" t="e">
        <f t="shared" si="22"/>
        <v>#DIV/0!</v>
      </c>
      <c r="I62" s="56">
        <f t="shared" si="23"/>
        <v>0</v>
      </c>
      <c r="J62" s="56" t="e">
        <f t="shared" si="24"/>
        <v>#DIV/0!</v>
      </c>
      <c r="K62" s="56"/>
      <c r="L62" s="56">
        <f t="shared" si="27"/>
        <v>0</v>
      </c>
      <c r="M62" s="40">
        <f t="shared" si="6"/>
        <v>0</v>
      </c>
      <c r="N62" s="40">
        <f t="shared" si="7"/>
        <v>0</v>
      </c>
      <c r="O62" s="53">
        <f t="shared" si="25"/>
        <v>0</v>
      </c>
      <c r="P62" s="56" t="e">
        <f t="shared" si="26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1"/>
        <v>0</v>
      </c>
      <c r="H63" s="40" t="e">
        <f t="shared" si="22"/>
        <v>#DIV/0!</v>
      </c>
      <c r="I63" s="56">
        <f t="shared" si="23"/>
        <v>0</v>
      </c>
      <c r="J63" s="56" t="e">
        <f t="shared" si="24"/>
        <v>#DIV/0!</v>
      </c>
      <c r="K63" s="56"/>
      <c r="L63" s="56">
        <f t="shared" si="27"/>
        <v>0</v>
      </c>
      <c r="M63" s="40">
        <f t="shared" si="6"/>
        <v>0</v>
      </c>
      <c r="N63" s="40">
        <f t="shared" si="7"/>
        <v>0</v>
      </c>
      <c r="O63" s="53">
        <f t="shared" si="25"/>
        <v>0</v>
      </c>
      <c r="P63" s="56" t="e">
        <f t="shared" si="26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1"/>
        <v>0</v>
      </c>
      <c r="H64" s="40" t="e">
        <f t="shared" si="22"/>
        <v>#DIV/0!</v>
      </c>
      <c r="I64" s="56">
        <f t="shared" si="23"/>
        <v>0</v>
      </c>
      <c r="J64" s="56" t="e">
        <f t="shared" si="24"/>
        <v>#DIV/0!</v>
      </c>
      <c r="K64" s="56"/>
      <c r="L64" s="56">
        <f t="shared" si="27"/>
        <v>0</v>
      </c>
      <c r="M64" s="40">
        <f t="shared" si="6"/>
        <v>0</v>
      </c>
      <c r="N64" s="40">
        <f t="shared" si="7"/>
        <v>0</v>
      </c>
      <c r="O64" s="53">
        <f t="shared" si="25"/>
        <v>0</v>
      </c>
      <c r="P64" s="56" t="e">
        <f t="shared" si="26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1"/>
        <v>0</v>
      </c>
      <c r="H65" s="40" t="e">
        <f t="shared" si="22"/>
        <v>#DIV/0!</v>
      </c>
      <c r="I65" s="56">
        <f t="shared" si="23"/>
        <v>0</v>
      </c>
      <c r="J65" s="56" t="e">
        <f t="shared" si="24"/>
        <v>#DIV/0!</v>
      </c>
      <c r="K65" s="56"/>
      <c r="L65" s="56">
        <f t="shared" si="27"/>
        <v>0</v>
      </c>
      <c r="M65" s="40">
        <f t="shared" si="6"/>
        <v>0</v>
      </c>
      <c r="N65" s="40">
        <f t="shared" si="7"/>
        <v>0</v>
      </c>
      <c r="O65" s="53">
        <f t="shared" si="25"/>
        <v>0</v>
      </c>
      <c r="P65" s="56" t="e">
        <f t="shared" si="26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1"/>
        <v>0</v>
      </c>
      <c r="H66" s="40" t="e">
        <f t="shared" si="22"/>
        <v>#DIV/0!</v>
      </c>
      <c r="I66" s="56">
        <f t="shared" si="23"/>
        <v>0</v>
      </c>
      <c r="J66" s="56" t="e">
        <f t="shared" si="24"/>
        <v>#DIV/0!</v>
      </c>
      <c r="K66" s="56"/>
      <c r="L66" s="56">
        <f t="shared" si="27"/>
        <v>0</v>
      </c>
      <c r="M66" s="40">
        <f t="shared" si="6"/>
        <v>0</v>
      </c>
      <c r="N66" s="40">
        <f t="shared" si="7"/>
        <v>0</v>
      </c>
      <c r="O66" s="53">
        <f t="shared" si="25"/>
        <v>0</v>
      </c>
      <c r="P66" s="56" t="e">
        <f t="shared" si="26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1"/>
        <v>0</v>
      </c>
      <c r="H67" s="40" t="e">
        <f t="shared" si="22"/>
        <v>#DIV/0!</v>
      </c>
      <c r="I67" s="56">
        <f t="shared" si="23"/>
        <v>0</v>
      </c>
      <c r="J67" s="56" t="e">
        <f t="shared" si="24"/>
        <v>#DIV/0!</v>
      </c>
      <c r="K67" s="56"/>
      <c r="L67" s="56">
        <f t="shared" si="27"/>
        <v>0</v>
      </c>
      <c r="M67" s="40">
        <f t="shared" si="6"/>
        <v>0</v>
      </c>
      <c r="N67" s="40">
        <f t="shared" si="7"/>
        <v>0</v>
      </c>
      <c r="O67" s="53">
        <f t="shared" si="25"/>
        <v>0</v>
      </c>
      <c r="P67" s="56" t="e">
        <f t="shared" si="26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1"/>
        <v>0.04999999999999999</v>
      </c>
      <c r="H68" s="40"/>
      <c r="I68" s="56">
        <f t="shared" si="23"/>
        <v>0.04999999999999999</v>
      </c>
      <c r="J68" s="56">
        <f t="shared" si="24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5"/>
        <v>0.04999999999999999</v>
      </c>
      <c r="P68" s="56"/>
      <c r="Q68" s="56">
        <f>N68-0.2</f>
        <v>-0.05000000000000002</v>
      </c>
      <c r="R68" s="137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1"/>
        <v>0</v>
      </c>
      <c r="H69" s="40" t="e">
        <f>F69/E69*100</f>
        <v>#DIV/0!</v>
      </c>
      <c r="I69" s="56">
        <f t="shared" si="23"/>
        <v>0</v>
      </c>
      <c r="J69" s="56" t="e">
        <f t="shared" si="24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5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1"/>
        <v>0</v>
      </c>
      <c r="H70" s="40" t="e">
        <f>F70/E70*100</f>
        <v>#DIV/0!</v>
      </c>
      <c r="I70" s="56">
        <f t="shared" si="23"/>
        <v>0</v>
      </c>
      <c r="J70" s="56" t="e">
        <f t="shared" si="24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5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1"/>
        <v>0</v>
      </c>
      <c r="H71" s="40" t="e">
        <f>F71/E71*100</f>
        <v>#DIV/0!</v>
      </c>
      <c r="I71" s="56">
        <f t="shared" si="23"/>
        <v>-4590</v>
      </c>
      <c r="J71" s="56">
        <f t="shared" si="24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5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1"/>
        <v>0</v>
      </c>
      <c r="H72" s="40" t="e">
        <f>F72/E72*100</f>
        <v>#DIV/0!</v>
      </c>
      <c r="I72" s="56">
        <f t="shared" si="23"/>
        <v>-4410</v>
      </c>
      <c r="J72" s="56">
        <f t="shared" si="24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5"/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28" ref="G74:G92">F74-E74</f>
        <v>4.6299999999999955</v>
      </c>
      <c r="H74" s="51">
        <f aca="true" t="shared" si="29" ref="H74:H86">F74/E74*100</f>
        <v>100.45705824284303</v>
      </c>
      <c r="I74" s="36">
        <f aca="true" t="shared" si="30" ref="I74:I92">F74-D74</f>
        <v>-16647.969999999998</v>
      </c>
      <c r="J74" s="36">
        <f aca="true" t="shared" si="31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2" ref="O74:O92">N74-M74</f>
        <v>4.6299999999999955</v>
      </c>
      <c r="P74" s="36">
        <f>N74/M74*100</f>
        <v>100.45705824284303</v>
      </c>
      <c r="Q74" s="36">
        <f>N74-920</f>
        <v>97.63</v>
      </c>
      <c r="R74" s="138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8"/>
        <v>#REF!</v>
      </c>
      <c r="H75" s="40" t="e">
        <f t="shared" si="29"/>
        <v>#REF!</v>
      </c>
      <c r="I75" s="56" t="e">
        <f t="shared" si="30"/>
        <v>#REF!</v>
      </c>
      <c r="J75" s="56" t="e">
        <f t="shared" si="31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2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8"/>
        <v>0</v>
      </c>
      <c r="H76" s="40" t="e">
        <f t="shared" si="29"/>
        <v>#DIV/0!</v>
      </c>
      <c r="I76" s="56" t="e">
        <f t="shared" si="30"/>
        <v>#REF!</v>
      </c>
      <c r="J76" s="56" t="e">
        <f t="shared" si="31"/>
        <v>#REF!</v>
      </c>
      <c r="K76" s="56"/>
      <c r="L76" s="56"/>
      <c r="M76" s="59"/>
      <c r="N76" s="59"/>
      <c r="O76" s="53">
        <f t="shared" si="32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28"/>
        <v>0</v>
      </c>
      <c r="H77" s="40" t="e">
        <f t="shared" si="29"/>
        <v>#DIV/0!</v>
      </c>
      <c r="I77" s="56">
        <f t="shared" si="30"/>
        <v>-1700</v>
      </c>
      <c r="J77" s="56">
        <f t="shared" si="31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2"/>
        <v>0</v>
      </c>
      <c r="P77" s="56" t="e">
        <f aca="true" t="shared" si="33" ref="P77:P86">N77/M77*100</f>
        <v>#DIV/0!</v>
      </c>
      <c r="Q77" s="56">
        <f>N77-0.9</f>
        <v>-0.9</v>
      </c>
      <c r="R77" s="137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8"/>
        <v>0</v>
      </c>
      <c r="H78" s="40" t="e">
        <f t="shared" si="29"/>
        <v>#DIV/0!</v>
      </c>
      <c r="I78" s="56">
        <f t="shared" si="30"/>
        <v>0</v>
      </c>
      <c r="J78" s="56" t="e">
        <f t="shared" si="31"/>
        <v>#DIV/0!</v>
      </c>
      <c r="K78" s="56"/>
      <c r="L78" s="56">
        <f aca="true" t="shared" si="34" ref="L78:L101">F78</f>
        <v>0</v>
      </c>
      <c r="M78" s="40">
        <f aca="true" t="shared" si="35" ref="M78:M105">E78</f>
        <v>0</v>
      </c>
      <c r="N78" s="40">
        <f aca="true" t="shared" si="36" ref="N78:N105">F78</f>
        <v>0</v>
      </c>
      <c r="O78" s="53">
        <f t="shared" si="32"/>
        <v>0</v>
      </c>
      <c r="P78" s="56" t="e">
        <f t="shared" si="33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8"/>
        <v>0</v>
      </c>
      <c r="H79" s="40" t="e">
        <f t="shared" si="29"/>
        <v>#DIV/0!</v>
      </c>
      <c r="I79" s="56">
        <f t="shared" si="30"/>
        <v>0</v>
      </c>
      <c r="J79" s="56" t="e">
        <f t="shared" si="31"/>
        <v>#DIV/0!</v>
      </c>
      <c r="K79" s="56"/>
      <c r="L79" s="56">
        <f t="shared" si="34"/>
        <v>0</v>
      </c>
      <c r="M79" s="40">
        <f t="shared" si="35"/>
        <v>0</v>
      </c>
      <c r="N79" s="40">
        <f t="shared" si="36"/>
        <v>0</v>
      </c>
      <c r="O79" s="53">
        <f t="shared" si="32"/>
        <v>0</v>
      </c>
      <c r="P79" s="56" t="e">
        <f t="shared" si="33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8"/>
        <v>0</v>
      </c>
      <c r="H80" s="40" t="e">
        <f t="shared" si="29"/>
        <v>#DIV/0!</v>
      </c>
      <c r="I80" s="56">
        <f t="shared" si="30"/>
        <v>0</v>
      </c>
      <c r="J80" s="56" t="e">
        <f t="shared" si="31"/>
        <v>#DIV/0!</v>
      </c>
      <c r="K80" s="56"/>
      <c r="L80" s="56">
        <f t="shared" si="34"/>
        <v>0</v>
      </c>
      <c r="M80" s="40">
        <f t="shared" si="35"/>
        <v>0</v>
      </c>
      <c r="N80" s="40">
        <f t="shared" si="36"/>
        <v>0</v>
      </c>
      <c r="O80" s="53">
        <f t="shared" si="32"/>
        <v>0</v>
      </c>
      <c r="P80" s="56" t="e">
        <f t="shared" si="33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8"/>
        <v>0</v>
      </c>
      <c r="H81" s="40" t="e">
        <f t="shared" si="29"/>
        <v>#DIV/0!</v>
      </c>
      <c r="I81" s="56">
        <f t="shared" si="30"/>
        <v>0</v>
      </c>
      <c r="J81" s="56" t="e">
        <f t="shared" si="31"/>
        <v>#DIV/0!</v>
      </c>
      <c r="K81" s="56"/>
      <c r="L81" s="56">
        <f t="shared" si="34"/>
        <v>0</v>
      </c>
      <c r="M81" s="40">
        <f t="shared" si="35"/>
        <v>0</v>
      </c>
      <c r="N81" s="40">
        <f t="shared" si="36"/>
        <v>0</v>
      </c>
      <c r="O81" s="53">
        <f t="shared" si="32"/>
        <v>0</v>
      </c>
      <c r="P81" s="56" t="e">
        <f t="shared" si="33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8"/>
        <v>0</v>
      </c>
      <c r="H82" s="40" t="e">
        <f t="shared" si="29"/>
        <v>#DIV/0!</v>
      </c>
      <c r="I82" s="56">
        <f t="shared" si="30"/>
        <v>0</v>
      </c>
      <c r="J82" s="56" t="e">
        <f t="shared" si="31"/>
        <v>#DIV/0!</v>
      </c>
      <c r="K82" s="56"/>
      <c r="L82" s="56">
        <f t="shared" si="34"/>
        <v>0</v>
      </c>
      <c r="M82" s="40">
        <f t="shared" si="35"/>
        <v>0</v>
      </c>
      <c r="N82" s="40">
        <f t="shared" si="36"/>
        <v>0</v>
      </c>
      <c r="O82" s="53">
        <f t="shared" si="32"/>
        <v>0</v>
      </c>
      <c r="P82" s="56" t="e">
        <f t="shared" si="33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8"/>
        <v>0</v>
      </c>
      <c r="H83" s="40" t="e">
        <f t="shared" si="29"/>
        <v>#DIV/0!</v>
      </c>
      <c r="I83" s="56">
        <f t="shared" si="30"/>
        <v>0</v>
      </c>
      <c r="J83" s="56" t="e">
        <f t="shared" si="31"/>
        <v>#DIV/0!</v>
      </c>
      <c r="K83" s="56"/>
      <c r="L83" s="56">
        <f t="shared" si="34"/>
        <v>0</v>
      </c>
      <c r="M83" s="40">
        <f t="shared" si="35"/>
        <v>0</v>
      </c>
      <c r="N83" s="40">
        <f t="shared" si="36"/>
        <v>0</v>
      </c>
      <c r="O83" s="53">
        <f t="shared" si="32"/>
        <v>0</v>
      </c>
      <c r="P83" s="56" t="e">
        <f t="shared" si="33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8"/>
        <v>0</v>
      </c>
      <c r="H84" s="40" t="e">
        <f t="shared" si="29"/>
        <v>#DIV/0!</v>
      </c>
      <c r="I84" s="56">
        <f t="shared" si="30"/>
        <v>0</v>
      </c>
      <c r="J84" s="56" t="e">
        <f t="shared" si="31"/>
        <v>#DIV/0!</v>
      </c>
      <c r="K84" s="56"/>
      <c r="L84" s="56">
        <f t="shared" si="34"/>
        <v>0</v>
      </c>
      <c r="M84" s="40">
        <f t="shared" si="35"/>
        <v>0</v>
      </c>
      <c r="N84" s="40">
        <f t="shared" si="36"/>
        <v>0</v>
      </c>
      <c r="O84" s="53">
        <f t="shared" si="32"/>
        <v>0</v>
      </c>
      <c r="P84" s="56" t="e">
        <f t="shared" si="33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8"/>
        <v>0</v>
      </c>
      <c r="H85" s="40" t="e">
        <f t="shared" si="29"/>
        <v>#DIV/0!</v>
      </c>
      <c r="I85" s="56">
        <f t="shared" si="30"/>
        <v>0</v>
      </c>
      <c r="J85" s="56" t="e">
        <f t="shared" si="31"/>
        <v>#DIV/0!</v>
      </c>
      <c r="K85" s="56"/>
      <c r="L85" s="56">
        <f t="shared" si="34"/>
        <v>0</v>
      </c>
      <c r="M85" s="40">
        <f t="shared" si="35"/>
        <v>0</v>
      </c>
      <c r="N85" s="40">
        <f t="shared" si="36"/>
        <v>0</v>
      </c>
      <c r="O85" s="53">
        <f t="shared" si="32"/>
        <v>0</v>
      </c>
      <c r="P85" s="56" t="e">
        <f t="shared" si="33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8"/>
        <v>0</v>
      </c>
      <c r="H86" s="40" t="e">
        <f t="shared" si="29"/>
        <v>#DIV/0!</v>
      </c>
      <c r="I86" s="56">
        <f t="shared" si="30"/>
        <v>-4300</v>
      </c>
      <c r="J86" s="56">
        <f t="shared" si="31"/>
        <v>0</v>
      </c>
      <c r="K86" s="56">
        <f>F86-0</f>
        <v>0</v>
      </c>
      <c r="L86" s="56" t="e">
        <f>F86/0*100</f>
        <v>#DIV/0!</v>
      </c>
      <c r="M86" s="40">
        <f t="shared" si="35"/>
        <v>0</v>
      </c>
      <c r="N86" s="40">
        <f t="shared" si="36"/>
        <v>0</v>
      </c>
      <c r="O86" s="53">
        <f t="shared" si="32"/>
        <v>0</v>
      </c>
      <c r="P86" s="56" t="e">
        <f t="shared" si="33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5"/>
        <v>0</v>
      </c>
      <c r="N87" s="40">
        <f t="shared" si="36"/>
        <v>4.23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28"/>
        <v>0</v>
      </c>
      <c r="H88" s="40" t="e">
        <f>F88/E88*100</f>
        <v>#DIV/0!</v>
      </c>
      <c r="I88" s="56">
        <f t="shared" si="30"/>
        <v>-5.1</v>
      </c>
      <c r="J88" s="56">
        <f t="shared" si="31"/>
        <v>0</v>
      </c>
      <c r="K88" s="56">
        <f>F88-0</f>
        <v>0</v>
      </c>
      <c r="L88" s="56" t="e">
        <f>F88/0*100</f>
        <v>#DIV/0!</v>
      </c>
      <c r="M88" s="40">
        <f t="shared" si="35"/>
        <v>0</v>
      </c>
      <c r="N88" s="40">
        <f t="shared" si="36"/>
        <v>0</v>
      </c>
      <c r="O88" s="53">
        <f t="shared" si="32"/>
        <v>0</v>
      </c>
      <c r="P88" s="56" t="e">
        <f>N88/M88*100</f>
        <v>#DIV/0!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28"/>
        <v>0.019999999999999574</v>
      </c>
      <c r="H89" s="40">
        <f>F89/E89*100</f>
        <v>100.22222222222221</v>
      </c>
      <c r="I89" s="56">
        <f t="shared" si="30"/>
        <v>-165.98</v>
      </c>
      <c r="J89" s="56">
        <f t="shared" si="31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5"/>
        <v>9</v>
      </c>
      <c r="N89" s="40">
        <f t="shared" si="36"/>
        <v>9.02</v>
      </c>
      <c r="O89" s="53">
        <f t="shared" si="32"/>
        <v>0.019999999999999574</v>
      </c>
      <c r="P89" s="56">
        <f>N89/M89*100</f>
        <v>100.22222222222221</v>
      </c>
      <c r="Q89" s="56">
        <f>N89-11.9</f>
        <v>-2.880000000000001</v>
      </c>
      <c r="R89" s="137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8"/>
        <v>0</v>
      </c>
      <c r="H90" s="40" t="e">
        <f>F90/E90*100</f>
        <v>#DIV/0!</v>
      </c>
      <c r="I90" s="56">
        <f t="shared" si="30"/>
        <v>0</v>
      </c>
      <c r="J90" s="56" t="e">
        <f t="shared" si="31"/>
        <v>#DIV/0!</v>
      </c>
      <c r="K90" s="56"/>
      <c r="L90" s="56">
        <f t="shared" si="34"/>
        <v>0</v>
      </c>
      <c r="M90" s="40">
        <f t="shared" si="35"/>
        <v>0</v>
      </c>
      <c r="N90" s="40">
        <f t="shared" si="36"/>
        <v>0</v>
      </c>
      <c r="O90" s="53">
        <f t="shared" si="32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8"/>
        <v>0</v>
      </c>
      <c r="H91" s="40" t="e">
        <f>F91/E91*100</f>
        <v>#DIV/0!</v>
      </c>
      <c r="I91" s="56">
        <f t="shared" si="30"/>
        <v>0</v>
      </c>
      <c r="J91" s="56" t="e">
        <f t="shared" si="31"/>
        <v>#DIV/0!</v>
      </c>
      <c r="K91" s="56"/>
      <c r="L91" s="56">
        <f t="shared" si="34"/>
        <v>0</v>
      </c>
      <c r="M91" s="40">
        <f t="shared" si="35"/>
        <v>0</v>
      </c>
      <c r="N91" s="40">
        <f t="shared" si="36"/>
        <v>0</v>
      </c>
      <c r="O91" s="53">
        <f t="shared" si="32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8"/>
        <v>0</v>
      </c>
      <c r="H92" s="40" t="e">
        <f>F92/E92*100</f>
        <v>#DIV/0!</v>
      </c>
      <c r="I92" s="56">
        <f t="shared" si="30"/>
        <v>0</v>
      </c>
      <c r="J92" s="56" t="e">
        <f t="shared" si="31"/>
        <v>#DIV/0!</v>
      </c>
      <c r="K92" s="56"/>
      <c r="L92" s="56">
        <f t="shared" si="34"/>
        <v>0</v>
      </c>
      <c r="M92" s="40">
        <f t="shared" si="35"/>
        <v>0</v>
      </c>
      <c r="N92" s="40">
        <f t="shared" si="36"/>
        <v>0</v>
      </c>
      <c r="O92" s="53">
        <f t="shared" si="32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4"/>
        <v>0</v>
      </c>
      <c r="M93" s="40">
        <f t="shared" si="35"/>
        <v>0</v>
      </c>
      <c r="N93" s="40">
        <f t="shared" si="36"/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7" ref="G94:G101">F94-E94</f>
        <v>0</v>
      </c>
      <c r="H94" s="40"/>
      <c r="I94" s="56">
        <f aca="true" t="shared" si="38" ref="I94:I100">F94-D94</f>
        <v>0</v>
      </c>
      <c r="J94" s="56"/>
      <c r="K94" s="56"/>
      <c r="L94" s="56">
        <f t="shared" si="34"/>
        <v>0</v>
      </c>
      <c r="M94" s="40">
        <f t="shared" si="35"/>
        <v>0</v>
      </c>
      <c r="N94" s="40">
        <f t="shared" si="36"/>
        <v>0</v>
      </c>
      <c r="O94" s="53">
        <f aca="true" t="shared" si="39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37"/>
        <v>-0.009999999999990905</v>
      </c>
      <c r="H95" s="40">
        <f>F95/E95*100</f>
        <v>99.9984555984556</v>
      </c>
      <c r="I95" s="56">
        <f t="shared" si="38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5"/>
        <v>647.5</v>
      </c>
      <c r="N95" s="40">
        <f t="shared" si="36"/>
        <v>647.49</v>
      </c>
      <c r="O95" s="53">
        <f t="shared" si="39"/>
        <v>-0.009999999999990905</v>
      </c>
      <c r="P95" s="56">
        <f>N95/M95*100</f>
        <v>99.9984555984556</v>
      </c>
      <c r="Q95" s="56">
        <f>N95-638.2</f>
        <v>9.289999999999964</v>
      </c>
      <c r="R95" s="137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37"/>
        <v>0.010000000000005116</v>
      </c>
      <c r="H96" s="40">
        <f>F96/E96*100</f>
        <v>100.0125786163522</v>
      </c>
      <c r="I96" s="56">
        <f t="shared" si="38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5"/>
        <v>79.5</v>
      </c>
      <c r="N96" s="40">
        <f t="shared" si="36"/>
        <v>79.51</v>
      </c>
      <c r="O96" s="53">
        <f t="shared" si="39"/>
        <v>0.010000000000005116</v>
      </c>
      <c r="P96" s="56">
        <f>N96/M96*100</f>
        <v>100.0125786163522</v>
      </c>
      <c r="Q96" s="56">
        <f>N96-17.2</f>
        <v>62.31</v>
      </c>
      <c r="R96" s="137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7"/>
        <v>0</v>
      </c>
      <c r="H97" s="40"/>
      <c r="I97" s="56">
        <f t="shared" si="38"/>
        <v>-40</v>
      </c>
      <c r="J97" s="56"/>
      <c r="K97" s="56"/>
      <c r="L97" s="56"/>
      <c r="M97" s="40">
        <f t="shared" si="35"/>
        <v>0</v>
      </c>
      <c r="N97" s="40">
        <f t="shared" si="36"/>
        <v>0</v>
      </c>
      <c r="O97" s="53">
        <f t="shared" si="39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7"/>
        <v>0</v>
      </c>
      <c r="H98" s="40" t="e">
        <f>F98/E98*100</f>
        <v>#DIV/0!</v>
      </c>
      <c r="I98" s="56">
        <f t="shared" si="38"/>
        <v>0</v>
      </c>
      <c r="J98" s="56" t="e">
        <f>F98/D98*100</f>
        <v>#DIV/0!</v>
      </c>
      <c r="K98" s="56"/>
      <c r="L98" s="56">
        <f t="shared" si="34"/>
        <v>0</v>
      </c>
      <c r="M98" s="40">
        <f t="shared" si="35"/>
        <v>0</v>
      </c>
      <c r="N98" s="40">
        <f t="shared" si="36"/>
        <v>0</v>
      </c>
      <c r="O98" s="53">
        <f t="shared" si="39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37"/>
        <v>0.37999999999999545</v>
      </c>
      <c r="H99" s="40">
        <f>F99/E99*100</f>
        <v>100.13718411552345</v>
      </c>
      <c r="I99" s="56">
        <f t="shared" si="38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5"/>
        <v>277</v>
      </c>
      <c r="N99" s="40">
        <f t="shared" si="36"/>
        <v>277.38</v>
      </c>
      <c r="O99" s="53">
        <f t="shared" si="39"/>
        <v>0.37999999999999545</v>
      </c>
      <c r="P99" s="56">
        <f>N99/M99*100</f>
        <v>100.13718411552345</v>
      </c>
      <c r="Q99" s="56">
        <f>N99-236.4</f>
        <v>40.97999999999999</v>
      </c>
      <c r="R99" s="137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7"/>
        <v>0</v>
      </c>
      <c r="H100" s="40" t="e">
        <f>F100/E100*100</f>
        <v>#DIV/0!</v>
      </c>
      <c r="I100" s="56">
        <f t="shared" si="38"/>
        <v>0</v>
      </c>
      <c r="J100" s="56" t="e">
        <f>F100/D100*100</f>
        <v>#DIV/0!</v>
      </c>
      <c r="K100" s="56"/>
      <c r="L100" s="56">
        <f t="shared" si="34"/>
        <v>0</v>
      </c>
      <c r="M100" s="40">
        <f t="shared" si="35"/>
        <v>0</v>
      </c>
      <c r="N100" s="40">
        <f t="shared" si="36"/>
        <v>0</v>
      </c>
      <c r="O100" s="53">
        <f t="shared" si="39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7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4"/>
        <v>0</v>
      </c>
      <c r="M101" s="40">
        <f t="shared" si="35"/>
        <v>0</v>
      </c>
      <c r="N101" s="40">
        <f t="shared" si="36"/>
        <v>0</v>
      </c>
      <c r="O101" s="53">
        <f t="shared" si="39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46"/>
      <c r="E102" s="146"/>
      <c r="F102" s="149">
        <v>64.7</v>
      </c>
      <c r="G102" s="146"/>
      <c r="H102" s="148"/>
      <c r="I102" s="147"/>
      <c r="J102" s="147"/>
      <c r="K102" s="147">
        <f>F102-30.6</f>
        <v>34.1</v>
      </c>
      <c r="L102" s="150">
        <f>F102/30.6*100</f>
        <v>211.43790849673204</v>
      </c>
      <c r="M102" s="40">
        <f t="shared" si="35"/>
        <v>0</v>
      </c>
      <c r="N102" s="40">
        <f t="shared" si="36"/>
        <v>64.7</v>
      </c>
      <c r="O102" s="53"/>
      <c r="P102" s="56"/>
      <c r="Q102" s="56">
        <f>N102-30.6</f>
        <v>34.1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0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5"/>
        <v>0</v>
      </c>
      <c r="N103" s="40">
        <f t="shared" si="36"/>
        <v>0</v>
      </c>
      <c r="O103" s="53">
        <f aca="true" t="shared" si="41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0"/>
        <v>-42.79</v>
      </c>
      <c r="J104" s="56">
        <f aca="true" t="shared" si="42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5"/>
        <v>2.2</v>
      </c>
      <c r="N104" s="40">
        <f t="shared" si="36"/>
        <v>2.21</v>
      </c>
      <c r="O104" s="53">
        <f t="shared" si="41"/>
        <v>0.009999999999999787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5"/>
        <v>0</v>
      </c>
      <c r="N105" s="40">
        <f t="shared" si="36"/>
        <v>0</v>
      </c>
      <c r="O105" s="53">
        <f t="shared" si="41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0"/>
        <v>-502271.9</v>
      </c>
      <c r="J106" s="36">
        <f t="shared" si="42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1"/>
        <v>-2060.899999999994</v>
      </c>
      <c r="P106" s="36">
        <f>N106/M106*100</f>
        <v>94.40412284917554</v>
      </c>
      <c r="Q106" s="36">
        <f>N106-34521.7</f>
        <v>246.3000000000029</v>
      </c>
      <c r="R106" s="138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0"/>
        <v>-392918.58</v>
      </c>
      <c r="J107" s="52">
        <f t="shared" si="42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1"/>
        <v>-2065.7800000000025</v>
      </c>
      <c r="P107" s="52">
        <f>N107/M107*100</f>
        <v>92.80551937422945</v>
      </c>
      <c r="Q107" s="52">
        <f>N107-26764.7</f>
        <v>-117.08000000000175</v>
      </c>
      <c r="R107" s="139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0"/>
        <v>-109353.32</v>
      </c>
      <c r="J108" s="52">
        <f t="shared" si="42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1"/>
        <v>4.880000000008295</v>
      </c>
      <c r="P108" s="52">
        <f>N108/M108*100</f>
        <v>100.06013184646673</v>
      </c>
      <c r="Q108" s="52">
        <f>N108-7757</f>
        <v>363.380000000001</v>
      </c>
      <c r="R108" s="139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0"/>
        <v>-392918.58</v>
      </c>
      <c r="J109" s="52">
        <f t="shared" si="42"/>
        <v>6.351231343230222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1"/>
        <v>-2065.7800000000025</v>
      </c>
      <c r="P109" s="52">
        <f>N109/M109*100</f>
        <v>92.80551937422945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40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3" ref="G113:G125">F113-E113</f>
        <v>0.18</v>
      </c>
      <c r="H113" s="40"/>
      <c r="I113" s="60">
        <f aca="true" t="shared" si="44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5" ref="M113:N115">E113</f>
        <v>0</v>
      </c>
      <c r="N113" s="40">
        <f t="shared" si="45"/>
        <v>0.18</v>
      </c>
      <c r="O113" s="53"/>
      <c r="P113" s="60"/>
      <c r="Q113" s="60">
        <f>N113-0.09</f>
        <v>0.09</v>
      </c>
      <c r="R113" s="140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3"/>
        <v>0.04000000000000625</v>
      </c>
      <c r="H114" s="40">
        <f aca="true" t="shared" si="46" ref="H114:H125">F114/E114*100</f>
        <v>100.05873715124818</v>
      </c>
      <c r="I114" s="60">
        <f t="shared" si="44"/>
        <v>-3603.36</v>
      </c>
      <c r="J114" s="60">
        <f aca="true" t="shared" si="47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5"/>
        <v>68.1</v>
      </c>
      <c r="N114" s="40">
        <f t="shared" si="45"/>
        <v>68.14</v>
      </c>
      <c r="O114" s="53">
        <f aca="true" t="shared" si="48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40">
        <f>N114/246.7</f>
        <v>0.2762059181191731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3"/>
        <v>0.030000000000001137</v>
      </c>
      <c r="H115" s="40">
        <f t="shared" si="46"/>
        <v>100.12244897959184</v>
      </c>
      <c r="I115" s="60">
        <f t="shared" si="44"/>
        <v>-243.57000000000002</v>
      </c>
      <c r="J115" s="60">
        <f t="shared" si="47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5"/>
        <v>24.5</v>
      </c>
      <c r="N115" s="40">
        <f t="shared" si="45"/>
        <v>24.53</v>
      </c>
      <c r="O115" s="53">
        <f t="shared" si="48"/>
        <v>0.030000000000001137</v>
      </c>
      <c r="P115" s="60">
        <f>N115/M115*100</f>
        <v>100.12244897959184</v>
      </c>
      <c r="Q115" s="60">
        <f>N115-22.5</f>
        <v>2.030000000000001</v>
      </c>
      <c r="R115" s="140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3"/>
        <v>0.2500000000000142</v>
      </c>
      <c r="H116" s="72">
        <f t="shared" si="46"/>
        <v>100.26997840172787</v>
      </c>
      <c r="I116" s="61">
        <f t="shared" si="44"/>
        <v>-3846.75</v>
      </c>
      <c r="J116" s="61">
        <f t="shared" si="47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48"/>
        <v>0.2500000000000142</v>
      </c>
      <c r="P116" s="61">
        <f>N116/M116*100</f>
        <v>100.26997840172787</v>
      </c>
      <c r="Q116" s="61">
        <f>N116-270.1</f>
        <v>-177.25</v>
      </c>
      <c r="R116" s="141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3"/>
        <v>0</v>
      </c>
      <c r="H117" s="40" t="e">
        <f t="shared" si="46"/>
        <v>#DIV/0!</v>
      </c>
      <c r="I117" s="60">
        <f t="shared" si="44"/>
        <v>0</v>
      </c>
      <c r="J117" s="60" t="e">
        <f t="shared" si="47"/>
        <v>#DIV/0!</v>
      </c>
      <c r="K117" s="60"/>
      <c r="L117" s="60"/>
      <c r="M117" s="41">
        <v>0</v>
      </c>
      <c r="N117" s="41">
        <f aca="true" t="shared" si="49" ref="N117:N122">F117</f>
        <v>0</v>
      </c>
      <c r="O117" s="53">
        <f t="shared" si="48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3"/>
        <v>54.32</v>
      </c>
      <c r="H118" s="40" t="e">
        <f t="shared" si="46"/>
        <v>#DIV/0!</v>
      </c>
      <c r="I118" s="60">
        <f t="shared" si="44"/>
        <v>54.32</v>
      </c>
      <c r="J118" s="60" t="e">
        <f t="shared" si="47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49"/>
        <v>54.32</v>
      </c>
      <c r="O118" s="53" t="s">
        <v>166</v>
      </c>
      <c r="P118" s="60"/>
      <c r="Q118" s="60">
        <f>N118-0.2</f>
        <v>54.12</v>
      </c>
      <c r="R118" s="140">
        <f>N118/0.2</f>
        <v>271.59999999999997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3"/>
        <v>0.2599999999993088</v>
      </c>
      <c r="H119" s="40">
        <f t="shared" si="46"/>
        <v>100.00347612171774</v>
      </c>
      <c r="I119" s="53">
        <f t="shared" si="44"/>
        <v>-18507.524999999998</v>
      </c>
      <c r="J119" s="60">
        <f t="shared" si="47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49"/>
        <v>7479.86</v>
      </c>
      <c r="O119" s="53">
        <f t="shared" si="48"/>
        <v>0.2599999999993088</v>
      </c>
      <c r="P119" s="60">
        <f aca="true" t="shared" si="50" ref="P119:P124">N119/M119*100</f>
        <v>100.00347612171774</v>
      </c>
      <c r="Q119" s="60">
        <f>N119-6357.6</f>
        <v>1122.2599999999993</v>
      </c>
      <c r="R119" s="140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3"/>
        <v>0.04</v>
      </c>
      <c r="H120" s="40" t="e">
        <f t="shared" si="46"/>
        <v>#DIV/0!</v>
      </c>
      <c r="I120" s="60">
        <f t="shared" si="44"/>
        <v>0.04</v>
      </c>
      <c r="J120" s="60" t="e">
        <f t="shared" si="47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49"/>
        <v>0.04</v>
      </c>
      <c r="O120" s="53">
        <f t="shared" si="48"/>
        <v>0.04</v>
      </c>
      <c r="P120" s="60" t="e">
        <f t="shared" si="50"/>
        <v>#DIV/0!</v>
      </c>
      <c r="Q120" s="60">
        <f>N120-230.3</f>
        <v>-230.26000000000002</v>
      </c>
      <c r="R120" s="140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3"/>
        <v>450.01</v>
      </c>
      <c r="H121" s="40" t="e">
        <f t="shared" si="46"/>
        <v>#DIV/0!</v>
      </c>
      <c r="I121" s="60">
        <f t="shared" si="44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49"/>
        <v>450.01</v>
      </c>
      <c r="O121" s="53">
        <f t="shared" si="48"/>
        <v>450.01</v>
      </c>
      <c r="P121" s="60" t="e">
        <f t="shared" si="50"/>
        <v>#DIV/0!</v>
      </c>
      <c r="Q121" s="60">
        <f>N121-238.5</f>
        <v>211.51</v>
      </c>
      <c r="R121" s="140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3"/>
        <v>1.05</v>
      </c>
      <c r="H122" s="40" t="e">
        <f t="shared" si="46"/>
        <v>#DIV/0!</v>
      </c>
      <c r="I122" s="60">
        <f t="shared" si="44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49"/>
        <v>1.05</v>
      </c>
      <c r="O122" s="53">
        <f t="shared" si="48"/>
        <v>1.05</v>
      </c>
      <c r="P122" s="60" t="e">
        <f t="shared" si="50"/>
        <v>#DIV/0!</v>
      </c>
      <c r="Q122" s="60">
        <f>N122-14.6</f>
        <v>-13.549999999999999</v>
      </c>
      <c r="R122" s="140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3"/>
        <v>505.6799999999994</v>
      </c>
      <c r="H123" s="72">
        <f t="shared" si="46"/>
        <v>106.76078934702389</v>
      </c>
      <c r="I123" s="61">
        <f t="shared" si="44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48"/>
        <v>505.6799999999994</v>
      </c>
      <c r="P123" s="61">
        <f t="shared" si="50"/>
        <v>106.76078934702389</v>
      </c>
      <c r="Q123" s="61">
        <f>N123-6841.1</f>
        <v>1144.1799999999994</v>
      </c>
      <c r="R123" s="141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3"/>
        <v>0</v>
      </c>
      <c r="H124" s="40">
        <f t="shared" si="46"/>
        <v>100</v>
      </c>
      <c r="I124" s="60">
        <f t="shared" si="44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1" ref="M124:N128">E124</f>
        <v>0.16</v>
      </c>
      <c r="N124" s="40">
        <f t="shared" si="51"/>
        <v>0.16</v>
      </c>
      <c r="O124" s="53">
        <f t="shared" si="48"/>
        <v>0</v>
      </c>
      <c r="P124" s="60">
        <f t="shared" si="50"/>
        <v>100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3"/>
        <v>0</v>
      </c>
      <c r="H125" s="40" t="e">
        <f t="shared" si="46"/>
        <v>#DIV/0!</v>
      </c>
      <c r="I125" s="63"/>
      <c r="J125" s="63"/>
      <c r="K125" s="63"/>
      <c r="L125" s="60">
        <f>F125</f>
        <v>0</v>
      </c>
      <c r="M125" s="40">
        <f t="shared" si="51"/>
        <v>0</v>
      </c>
      <c r="N125" s="40">
        <f t="shared" si="51"/>
        <v>0</v>
      </c>
      <c r="O125" s="53">
        <f t="shared" si="48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1"/>
        <v>7.2</v>
      </c>
      <c r="N126" s="40">
        <f t="shared" si="51"/>
        <v>8.76</v>
      </c>
      <c r="O126" s="53"/>
      <c r="P126" s="63"/>
      <c r="Q126" s="63">
        <f>N126-0</f>
        <v>8.76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2" ref="G127:G134">F127-E127</f>
        <v>0.2700000000000031</v>
      </c>
      <c r="H127" s="40">
        <f>F127/E127*100</f>
        <v>101.55172413793106</v>
      </c>
      <c r="I127" s="60">
        <f aca="true" t="shared" si="53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1"/>
        <v>17.4</v>
      </c>
      <c r="N127" s="40">
        <f t="shared" si="51"/>
        <v>17.67</v>
      </c>
      <c r="O127" s="53">
        <f aca="true" t="shared" si="54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40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2"/>
        <v>-0.21</v>
      </c>
      <c r="H128" s="40"/>
      <c r="I128" s="60">
        <f t="shared" si="53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1"/>
        <v>0</v>
      </c>
      <c r="N128" s="40">
        <f t="shared" si="51"/>
        <v>-0.21</v>
      </c>
      <c r="O128" s="53">
        <f t="shared" si="54"/>
        <v>-0.21</v>
      </c>
      <c r="P128" s="60"/>
      <c r="Q128" s="60">
        <f>N128-0.2</f>
        <v>-0.41000000000000003</v>
      </c>
      <c r="R128" s="140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2"/>
        <v>1.6200000000000045</v>
      </c>
      <c r="H129" s="72">
        <f>F129/E129*100</f>
        <v>106.54281098546043</v>
      </c>
      <c r="I129" s="61">
        <f t="shared" si="53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4"/>
        <v>1.6200000000000045</v>
      </c>
      <c r="P129" s="61">
        <f>N129/M129*100</f>
        <v>106.54281098546043</v>
      </c>
      <c r="Q129" s="61">
        <f>N129-84.8</f>
        <v>-58.419999999999995</v>
      </c>
      <c r="R129" s="139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5" ref="M130:N132">E130</f>
        <v>0.45</v>
      </c>
      <c r="N130" s="40">
        <f t="shared" si="55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40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5"/>
        <v>0</v>
      </c>
      <c r="N131" s="40">
        <f t="shared" si="55"/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2"/>
        <v>0</v>
      </c>
      <c r="H132" s="40" t="e">
        <f>F132/E132*100</f>
        <v>#DIV/0!</v>
      </c>
      <c r="I132" s="60">
        <f t="shared" si="53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5"/>
        <v>0</v>
      </c>
      <c r="N132" s="40">
        <f t="shared" si="55"/>
        <v>0</v>
      </c>
      <c r="O132" s="53">
        <f t="shared" si="54"/>
        <v>0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2"/>
        <v>507.5499999999993</v>
      </c>
      <c r="H133" s="51">
        <f>F133/E133*100</f>
        <v>106.68056614030306</v>
      </c>
      <c r="I133" s="36">
        <f t="shared" si="53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4"/>
        <v>507.5499999999993</v>
      </c>
      <c r="P133" s="36">
        <f>N133/M133*100</f>
        <v>106.68056614030306</v>
      </c>
      <c r="Q133" s="36">
        <f>N133-7196.4</f>
        <v>908.5600000000004</v>
      </c>
      <c r="R133" s="138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2"/>
        <v>-1553.3499999999985</v>
      </c>
      <c r="H134" s="51">
        <f>F134/E134*100</f>
        <v>96.50353585521732</v>
      </c>
      <c r="I134" s="36">
        <f t="shared" si="53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4"/>
        <v>-1553.3499999999985</v>
      </c>
      <c r="P134" s="36">
        <f>N134/M134*100</f>
        <v>96.50353585521732</v>
      </c>
      <c r="Q134" s="36">
        <f>N134-41718.2</f>
        <v>1154.760000000002</v>
      </c>
      <c r="R134" s="138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2014-03-04T14:00:59Z</cp:lastPrinted>
  <dcterms:created xsi:type="dcterms:W3CDTF">2003-07-28T11:27:56Z</dcterms:created>
  <dcterms:modified xsi:type="dcterms:W3CDTF">2014-03-04T14:55:57Z</dcterms:modified>
  <cp:category/>
  <cp:version/>
  <cp:contentType/>
  <cp:contentStatus/>
</cp:coreProperties>
</file>